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1"/>
  </bookViews>
  <sheets>
    <sheet name="Балансировка ТА САМАЯ" sheetId="1" state="hidden" r:id="rId1"/>
    <sheet name="Расчет Дотации" sheetId="2" state="visible" r:id="rId2"/>
    <sheet name=" Индекс бюджетных расход" sheetId="3" state="visible" r:id="rId3"/>
  </sheets>
  <definedNames>
    <definedName name="Excel_BuiltIn_Print_Area" localSheetId="1">'Расчет Дотации'!$A$1:$T$58</definedName>
    <definedName name="Print_Area" localSheetId="1">'Расчет Дотации'!$A$1:$T$58</definedName>
    <definedName name="Excel_BuiltIn_Print_Area" localSheetId="2">' Индекс бюджетных расход'!$A$1:$W$55</definedName>
    <definedName name="Print_Area" localSheetId="2">' Индекс бюджетных расход'!$A$1:$X$58</definedName>
  </definedNames>
  <calcPr/>
</workbook>
</file>

<file path=xl/sharedStrings.xml><?xml version="1.0" encoding="utf-8"?>
<sst xmlns="http://schemas.openxmlformats.org/spreadsheetml/2006/main" count="147" uniqueCount="147">
  <si>
    <t xml:space="preserve">БАЛАНСИРОВКА ДОХОДОВ И РАСХОДОВ БЮДЖЕТОВ ПОСЕЛЕНИЙ БЕЛОЯРСКОГО РАЙОНА НА 2020 ГОД И 
ПЛАНОВЫЙ ПЕРИОД 2021-2022 ГОДОВ</t>
  </si>
  <si>
    <t xml:space="preserve">2020 год</t>
  </si>
  <si>
    <t xml:space="preserve">№ п/п</t>
  </si>
  <si>
    <t xml:space="preserve">Наименование поселения</t>
  </si>
  <si>
    <t xml:space="preserve">ДОТАЦИЯ   2020             </t>
  </si>
  <si>
    <t xml:space="preserve">Иные  на обеспечение сбаланси-рованности</t>
  </si>
  <si>
    <t xml:space="preserve">Межбюд-жетные трансферты на исполнение переданных полномочий</t>
  </si>
  <si>
    <t xml:space="preserve">Субвен-ции </t>
  </si>
  <si>
    <t xml:space="preserve">Исторические и иные местные традиции</t>
  </si>
  <si>
    <t xml:space="preserve">Собств. доходы</t>
  </si>
  <si>
    <t xml:space="preserve">Всего доходов</t>
  </si>
  <si>
    <t xml:space="preserve">Расходы </t>
  </si>
  <si>
    <t xml:space="preserve">Субвенции </t>
  </si>
  <si>
    <t xml:space="preserve">Исторические и иные местные традиции (соф.)</t>
  </si>
  <si>
    <t xml:space="preserve">Исторические и иные местные традиции </t>
  </si>
  <si>
    <t xml:space="preserve">Итого расходов </t>
  </si>
  <si>
    <t xml:space="preserve">Итого межбюджет-ные трансферты району</t>
  </si>
  <si>
    <t xml:space="preserve">Всего расходов</t>
  </si>
  <si>
    <t xml:space="preserve">Дефицит/ профицит</t>
  </si>
  <si>
    <t>1.</t>
  </si>
  <si>
    <t xml:space="preserve">гп Белоярский</t>
  </si>
  <si>
    <t>2.</t>
  </si>
  <si>
    <t xml:space="preserve">сп Верхнеказымский</t>
  </si>
  <si>
    <t>3.</t>
  </si>
  <si>
    <t xml:space="preserve">сп Казым</t>
  </si>
  <si>
    <t>4.</t>
  </si>
  <si>
    <t xml:space="preserve">сп Лыхма</t>
  </si>
  <si>
    <t>5.</t>
  </si>
  <si>
    <t xml:space="preserve">сп Полноват</t>
  </si>
  <si>
    <t>6.</t>
  </si>
  <si>
    <t xml:space="preserve">сп Сорум</t>
  </si>
  <si>
    <t>7.</t>
  </si>
  <si>
    <t xml:space="preserve">сп Сосновка</t>
  </si>
  <si>
    <t>Итого</t>
  </si>
  <si>
    <t xml:space="preserve">2021 год</t>
  </si>
  <si>
    <t xml:space="preserve">ДОТАЦИЯ   2021             </t>
  </si>
  <si>
    <t xml:space="preserve">Межбюджетные трансферты на исполнение переданных полномочий</t>
  </si>
  <si>
    <t xml:space="preserve">Субвенции из регионального фонда компенсаций</t>
  </si>
  <si>
    <t xml:space="preserve">Условно утвержденные расходы</t>
  </si>
  <si>
    <t xml:space="preserve">Итого расходов</t>
  </si>
  <si>
    <t xml:space="preserve">Итого межбюджетные трансферты району</t>
  </si>
  <si>
    <t xml:space="preserve">2022 год</t>
  </si>
  <si>
    <t xml:space="preserve">ДОТАЦИЯ   2022             </t>
  </si>
  <si>
    <t>Расходы</t>
  </si>
  <si>
    <t xml:space="preserve">исполнитель: Ахметчина Н.Н.</t>
  </si>
  <si>
    <t xml:space="preserve">Расчет и распределение дотации на выравнивание бюджетной обеспеченности поселений Белоярского района  на 2026 год и плановый период 2027 и 2028 годов
  (Закон ХМАО - Югры от 10 ноября 2008 года № 132-оз "О межбюджетных отношениях в ХМАО - Югре")</t>
  </si>
  <si>
    <t xml:space="preserve">2026 год</t>
  </si>
  <si>
    <t xml:space="preserve">2027 год</t>
  </si>
  <si>
    <t xml:space="preserve">2028 год</t>
  </si>
  <si>
    <t xml:space="preserve">2025 год</t>
  </si>
  <si>
    <t xml:space="preserve">Распределение дотации на выравнивание бюджетной обеспеченности поселений</t>
  </si>
  <si>
    <t xml:space="preserve">1 этап (1 часть дотации) </t>
  </si>
  <si>
    <t xml:space="preserve">2 этап (2 часть дотации):</t>
  </si>
  <si>
    <t xml:space="preserve">1) субсидия на  выравнивание бюджетной обеспеченности поселений, входящих в состав муниципального района
</t>
  </si>
  <si>
    <t xml:space="preserve">2) собственные средства бюджета района (0,29 %  от налоговых и неналоговых доходов Белоярского района)</t>
  </si>
  <si>
    <t xml:space="preserve">более 90 % от критерия УРБО</t>
  </si>
  <si>
    <r>
      <t xml:space="preserve">Уровень расчетной бюджетной обеспеченности, установленный в качестве </t>
    </r>
    <r>
      <rPr>
        <b/>
        <sz val="12"/>
        <rFont val="Times New Roman"/>
      </rPr>
      <t>критерия</t>
    </r>
    <r>
      <rPr>
        <sz val="12"/>
        <rFont val="Times New Roman"/>
      </rPr>
      <t xml:space="preserve"> (БО кр)</t>
    </r>
  </si>
  <si>
    <r>
      <t xml:space="preserve">Численность населения (тыс.чел.) </t>
    </r>
    <r>
      <rPr>
        <b/>
        <sz val="11"/>
        <rFont val="Times New Roman"/>
      </rPr>
      <t>H</t>
    </r>
  </si>
  <si>
    <t xml:space="preserve">Средняя численность населения</t>
  </si>
  <si>
    <t xml:space="preserve">Прогноз налоговых и неналоговых доходов  бюджетов поселений (ПНД) </t>
  </si>
  <si>
    <t xml:space="preserve">Налоговый потенциал поселений (НП)       </t>
  </si>
  <si>
    <t xml:space="preserve">Индекс налогового потенциала   (ИНП) </t>
  </si>
  <si>
    <t xml:space="preserve">Объем средств необходимый для доведения уровня расчетной обеспеченности</t>
  </si>
  <si>
    <r>
      <t xml:space="preserve">Размер </t>
    </r>
    <r>
      <rPr>
        <b/>
        <sz val="11"/>
        <rFont val="Times New Roman"/>
      </rPr>
      <t>второй</t>
    </r>
    <r>
      <rPr>
        <sz val="11"/>
        <rFont val="Times New Roman"/>
      </rPr>
      <t xml:space="preserve"> </t>
    </r>
    <r>
      <rPr>
        <b/>
        <sz val="11"/>
        <rFont val="Times New Roman"/>
      </rPr>
      <t xml:space="preserve">части дотации</t>
    </r>
    <r>
      <rPr>
        <sz val="11"/>
        <rFont val="Times New Roman"/>
      </rPr>
      <t xml:space="preserve"> на выравнивание бюджетной обеспеченности </t>
    </r>
  </si>
  <si>
    <t xml:space="preserve">в том числе:</t>
  </si>
  <si>
    <r>
      <t xml:space="preserve">Размер </t>
    </r>
    <r>
      <rPr>
        <b/>
        <sz val="11"/>
        <rFont val="Times New Roman"/>
      </rPr>
      <t xml:space="preserve">первой  части дотации</t>
    </r>
    <r>
      <rPr>
        <sz val="11"/>
        <rFont val="Times New Roman"/>
      </rPr>
      <t xml:space="preserve"> на выравнивание бюджетной обеспеченности</t>
    </r>
  </si>
  <si>
    <t xml:space="preserve">Всего дотации  на выравнивание бюджетной обеспеченности поселений</t>
  </si>
  <si>
    <r>
      <t xml:space="preserve">Размер </t>
    </r>
    <r>
      <rPr>
        <b/>
        <sz val="11"/>
        <rFont val="Times New Roman"/>
      </rPr>
      <t xml:space="preserve">второй части дотации</t>
    </r>
    <r>
      <rPr>
        <sz val="11"/>
        <rFont val="Times New Roman"/>
      </rPr>
      <t xml:space="preserve"> на выравнивание бюджетной обеспеченности </t>
    </r>
  </si>
  <si>
    <t xml:space="preserve">Всего дотации на выравнивание бюджетной обеспеченности поселений</t>
  </si>
  <si>
    <r>
      <t xml:space="preserve">Размер </t>
    </r>
    <r>
      <rPr>
        <b/>
        <sz val="11"/>
        <rFont val="Times New Roman"/>
      </rPr>
      <t xml:space="preserve">первой  части дотации </t>
    </r>
    <r>
      <rPr>
        <sz val="11"/>
        <rFont val="Times New Roman"/>
      </rPr>
      <t xml:space="preserve">на выравнивание бюджетной обеспеченности</t>
    </r>
  </si>
  <si>
    <t xml:space="preserve">собственные средства</t>
  </si>
  <si>
    <r>
      <t>субсидия</t>
    </r>
    <r>
      <rPr>
        <sz val="11"/>
        <rFont val="Times New Roman"/>
      </rPr>
      <t xml:space="preserve">  на  выравнивание бюджетной обеспеченности поселений</t>
    </r>
  </si>
  <si>
    <t>3.1</t>
  </si>
  <si>
    <t>7.1</t>
  </si>
  <si>
    <t>11.1</t>
  </si>
  <si>
    <r>
      <t xml:space="preserve">Индекс налогового потенциала 2026 год </t>
    </r>
    <r>
      <rPr>
        <b/>
        <sz val="11"/>
        <rFont val="Times New Roman"/>
      </rPr>
      <t>ИНП</t>
    </r>
  </si>
  <si>
    <r>
      <t xml:space="preserve">Индекс налогового потенциала 2027 год </t>
    </r>
    <r>
      <rPr>
        <b/>
        <sz val="11"/>
        <rFont val="Times New Roman"/>
      </rPr>
      <t>ИНП</t>
    </r>
  </si>
  <si>
    <r>
      <t xml:space="preserve">Индекс налогового потенциала 2028 год </t>
    </r>
    <r>
      <rPr>
        <b/>
        <sz val="11"/>
        <rFont val="Times New Roman"/>
      </rPr>
      <t>ИНП</t>
    </r>
  </si>
  <si>
    <r>
      <t xml:space="preserve">Индекс бюджетных расходов </t>
    </r>
    <r>
      <rPr>
        <b/>
        <sz val="11"/>
        <rFont val="Times New Roman"/>
      </rPr>
      <t xml:space="preserve">2026, 2027, 2028 год  ИБР</t>
    </r>
  </si>
  <si>
    <r>
      <t xml:space="preserve">Уровень расчетной бюджетной обеспеченности                                   </t>
    </r>
    <r>
      <rPr>
        <b/>
        <sz val="11"/>
        <rFont val="Times New Roman"/>
      </rPr>
      <t xml:space="preserve">БО n 2026 год</t>
    </r>
  </si>
  <si>
    <r>
      <t xml:space="preserve">Уровень расчетной бюджетной обеспеченности          </t>
    </r>
    <r>
      <rPr>
        <b/>
        <sz val="11"/>
        <rFont val="Times New Roman"/>
      </rPr>
      <t xml:space="preserve"> БО n 2027 год</t>
    </r>
  </si>
  <si>
    <r>
      <t xml:space="preserve">Уровень расчетной бюджетной обеспеченности          </t>
    </r>
    <r>
      <rPr>
        <b/>
        <sz val="11"/>
        <rFont val="Times New Roman"/>
      </rPr>
      <t xml:space="preserve"> БО n 2028 год</t>
    </r>
  </si>
  <si>
    <t xml:space="preserve">Уровень расчетной бюджетной обеспеченности    после выравнивания          БО  2026 год (формула Минфина)</t>
  </si>
  <si>
    <t xml:space="preserve">ОКРУГ РАСПРЕДЕЛИЛ субвенция исходя из численности в субъекте</t>
  </si>
  <si>
    <t>критер</t>
  </si>
  <si>
    <t>город</t>
  </si>
  <si>
    <t>Вк</t>
  </si>
  <si>
    <t>Каз</t>
  </si>
  <si>
    <t>Лых</t>
  </si>
  <si>
    <t>Пол</t>
  </si>
  <si>
    <t>Сор</t>
  </si>
  <si>
    <t>Сос</t>
  </si>
  <si>
    <t>УВСН</t>
  </si>
  <si>
    <t xml:space="preserve">Экономически обоснованные тарифы 2025 год</t>
  </si>
  <si>
    <t xml:space="preserve">Числен-ность 01.01.2024</t>
  </si>
  <si>
    <t xml:space="preserve">Всего расходов поселений</t>
  </si>
  <si>
    <t xml:space="preserve">в том числе на КОСГУ 211,213</t>
  </si>
  <si>
    <r>
      <rPr>
        <b/>
        <sz val="11"/>
        <rFont val="Calibri"/>
      </rPr>
      <t xml:space="preserve">Доля </t>
    </r>
    <r>
      <rPr>
        <sz val="11"/>
        <rFont val="Calibri"/>
      </rPr>
      <t xml:space="preserve">КОСГУ 211 и 213 (q)</t>
    </r>
  </si>
  <si>
    <t xml:space="preserve">Удельный вес сельского поселения</t>
  </si>
  <si>
    <t xml:space="preserve">Расходы по КОСГУ 223</t>
  </si>
  <si>
    <r>
      <rPr>
        <b/>
        <sz val="11"/>
        <rFont val="Calibri"/>
      </rPr>
      <t xml:space="preserve">Доля </t>
    </r>
    <r>
      <rPr>
        <sz val="11"/>
        <rFont val="Calibri"/>
      </rPr>
      <t xml:space="preserve">расходов по КОСГУ 223   (q)</t>
    </r>
  </si>
  <si>
    <t xml:space="preserve">Коэффи-циент заработ-ной платы</t>
  </si>
  <si>
    <t xml:space="preserve"> T (n)  водоснаб</t>
  </si>
  <si>
    <t xml:space="preserve"> T (n) водоот </t>
  </si>
  <si>
    <t xml:space="preserve">  T (n) теплоснаб</t>
  </si>
  <si>
    <t xml:space="preserve"> T (n) электроэн</t>
  </si>
  <si>
    <t xml:space="preserve">Ср.т  водоснаб + водоот</t>
  </si>
  <si>
    <t xml:space="preserve">Ср. т тепл.</t>
  </si>
  <si>
    <t xml:space="preserve">Ср.т эл.</t>
  </si>
  <si>
    <t xml:space="preserve">Коэффициент стоимости предоставления коммунальных услуг</t>
  </si>
  <si>
    <t xml:space="preserve">Коэффициент структуры потребителей муниципальных услуг</t>
  </si>
  <si>
    <t xml:space="preserve">Численность постоянного населения</t>
  </si>
  <si>
    <t xml:space="preserve">условие д/б 1</t>
  </si>
  <si>
    <t xml:space="preserve">Числен-ность на 01.01.24</t>
  </si>
  <si>
    <t xml:space="preserve">Площадь жилого фонда</t>
  </si>
  <si>
    <t xml:space="preserve">Всего (куль+апп)</t>
  </si>
  <si>
    <t xml:space="preserve">Расходы культура</t>
  </si>
  <si>
    <t xml:space="preserve">Расходы аппарат</t>
  </si>
  <si>
    <t xml:space="preserve">Расходы 0501</t>
  </si>
  <si>
    <t xml:space="preserve">Доля аппарата и культ.</t>
  </si>
  <si>
    <t xml:space="preserve">Доля жилфонд</t>
  </si>
  <si>
    <t xml:space="preserve">Доля  остальных расходов</t>
  </si>
  <si>
    <t xml:space="preserve">Коэф-т структуры потребителей услуг </t>
  </si>
  <si>
    <t xml:space="preserve">Коэф-т диф. расходов на содержание жилого фонда</t>
  </si>
  <si>
    <t xml:space="preserve">Коэф. дисперсноти расселения</t>
  </si>
  <si>
    <t xml:space="preserve">Коэф. Масштаба</t>
  </si>
  <si>
    <t>пол</t>
  </si>
  <si>
    <t xml:space="preserve">Значение корректирующего коэффициента, установленного постановлением администрации Белоярского района 
от 16 декабря  2020 года № 1097 "О применении коэффициентов, используемых при расчете и распределении дотации на выравнивание бюджетной обеспеченности городского и сельских поселений в границах Белоярского района"
(вместе с "Порядком изменения перечня корректирующих коэффициентов, входящих в состав коэффициента стоимости предоставления муниципальных услуг городского и сельских поселений в границах Белоярского района")
</t>
  </si>
  <si>
    <t>каз</t>
  </si>
  <si>
    <t xml:space="preserve">Коэффицент стоимости предоставления муниципальных услуг</t>
  </si>
  <si>
    <t xml:space="preserve">Сумма К*Н</t>
  </si>
  <si>
    <t xml:space="preserve">1.  Индекс  бюджетных  расходов n-го поселения (ИБР )</t>
  </si>
  <si>
    <t xml:space="preserve">с коэф</t>
  </si>
  <si>
    <t>Расчет</t>
  </si>
  <si>
    <t xml:space="preserve">по данным ХМАО</t>
  </si>
  <si>
    <t xml:space="preserve">Соотношение налоговых и неналоговых доходов  бюджета поселения к объему расходов бюджета поселения на осуществление части полномочий по решению вопросов местного значения</t>
  </si>
  <si>
    <t xml:space="preserve">Значение  Кn</t>
  </si>
  <si>
    <t xml:space="preserve">Перв. налог. Неналог / Расходы Перв 2024</t>
  </si>
  <si>
    <t>0,1-0,24</t>
  </si>
  <si>
    <t>0,25-0,50</t>
  </si>
  <si>
    <t>0,51-0,64</t>
  </si>
  <si>
    <t>0,65-1,0</t>
  </si>
  <si>
    <t xml:space="preserve">Расходы бюджета</t>
  </si>
  <si>
    <t xml:space="preserve">Доля собственных доходов в расходах бюджета</t>
  </si>
  <si>
    <t>Градация</t>
  </si>
  <si>
    <t>0,25-0,5</t>
  </si>
  <si>
    <t>0,65-1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</si>
</sst>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27">
    <numFmt numFmtId="160" formatCode="_-* #,##0_р_._-;\-* #,##0_р_._-;_-* &quot;-&quot;_р_._-;_-@_-"/>
    <numFmt numFmtId="161" formatCode="_-* #,##0.00_р_._-;\-* #,##0.00_р_._-;_-* &quot;-&quot;??_р_._-;_-@_-"/>
    <numFmt numFmtId="162" formatCode="#,##0.0"/>
    <numFmt numFmtId="163" formatCode="0.0000"/>
    <numFmt numFmtId="164" formatCode="0.0"/>
    <numFmt numFmtId="165" formatCode="#,##0.000"/>
    <numFmt numFmtId="166" formatCode="0.0000000"/>
    <numFmt numFmtId="167" formatCode="_-* #,##0.000_р_._-;\-* #,##0.000_р_._-;_-* \-??_р_._-;_-@_-"/>
    <numFmt numFmtId="168" formatCode="_-* #,##0.0_р_._-;\-* #,##0.0_р_._-;_-* \-?_р_._-;_-@_-"/>
    <numFmt numFmtId="169" formatCode="_-* #,##0_р_._-;\-* #,##0_р_._-;_-* \-?_р_._-;_-@_-"/>
    <numFmt numFmtId="170" formatCode="_-* #,##0.0_р_._-;\-* #,##0.0_р_._-;_-* \-??_р_._-;_-@_-"/>
    <numFmt numFmtId="171" formatCode="_-* #,##0.0_р_._-;\-* #,##0.0_р_._-;_-* &quot;-&quot;?_р_._-;_-@_-"/>
    <numFmt numFmtId="172" formatCode="_-* #,##0.0_р_._-;\-* #,##0.0_р_._-;_-* \-???_р_._-;_-@_-"/>
    <numFmt numFmtId="173" formatCode="_-* #,##0.000_р_._-;\-* #,##0.000_р_._-;_-* \-???_р_._-;_-@_-"/>
    <numFmt numFmtId="174" formatCode="_-* #,##0.0000_р_._-;\-* #,##0.0000_р_._-;_-* \-??_р_._-;_-@_-"/>
    <numFmt numFmtId="175" formatCode="_-* #,##0.00_р_._-;\-* #,##0.00_р_._-;_-* \-??_р_._-;_-@_-"/>
    <numFmt numFmtId="176" formatCode="_-* #,##0_р_._-;\-* #,##0_р_._-;_-* \-??_р_._-;_-@_-"/>
    <numFmt numFmtId="177" formatCode="#,##0.0000"/>
    <numFmt numFmtId="178" formatCode="_-* #,##0.0000\ _₽_-;\-* #,##0.0000\ _₽_-;_-* \-????\ _₽_-;_-@_-"/>
    <numFmt numFmtId="179" formatCode="0.000"/>
    <numFmt numFmtId="180" formatCode="_-* #,##0.000\ _₽_-;\-* #,##0.000\ _₽_-;_-* \-???\ _₽_-;_-@_-"/>
    <numFmt numFmtId="181" formatCode="_-* #,##0.00000_р_._-;\-* #,##0.00000_р_._-;_-* \-???_р_._-;_-@_-"/>
    <numFmt numFmtId="182" formatCode="_-* #,##0.0000_р_._-;\-* #,##0.0000_р_._-;_-* \-????_р_._-;_-@_-"/>
    <numFmt numFmtId="183" formatCode="#,##0.000_ ;\-#,##0.000\ "/>
    <numFmt numFmtId="184" formatCode="#,##0.0_ ;\-#,##0.0\ "/>
    <numFmt numFmtId="185" formatCode="_-* #,##0.000_р_._-;\-* #,##0.000_р_._-;_-* \-?_р_._-;_-@_-"/>
    <numFmt numFmtId="186" formatCode="_-* #,##0.00\ _₽_-;\-* #,##0.00\ _₽_-;_-* &quot;-&quot;??\ _₽_-;_-@_-"/>
  </numFmts>
  <fonts count="43">
    <font>
      <sz val="11.000000"/>
      <color theme="1"/>
      <name val="Calibri"/>
    </font>
    <font>
      <sz val="11.000000"/>
      <name val="Calibri"/>
    </font>
    <font>
      <sz val="10.000000"/>
      <name val="Arial"/>
    </font>
    <font>
      <sz val="10.000000"/>
      <name val="Arial Cyr"/>
    </font>
    <font>
      <sz val="11.000000"/>
      <color theme="1"/>
      <name val="Calibri"/>
      <scheme val="minor"/>
    </font>
    <font>
      <sz val="11.000000"/>
      <name val="Calibri"/>
      <scheme val="minor"/>
    </font>
    <font>
      <sz val="11.000000"/>
      <name val="Times New Roman"/>
    </font>
    <font>
      <b/>
      <sz val="16.000000"/>
      <name val="Times New Roman"/>
    </font>
    <font>
      <sz val="9.000000"/>
      <name val="Times New Roman"/>
    </font>
    <font>
      <b/>
      <i/>
      <sz val="14.000000"/>
      <name val="Times New Roman"/>
    </font>
    <font>
      <sz val="10.000000"/>
      <name val="Times New Roman"/>
    </font>
    <font>
      <b/>
      <sz val="10.000000"/>
      <name val="Times New Roman"/>
    </font>
    <font>
      <i/>
      <sz val="10.000000"/>
      <name val="Times New Roman"/>
    </font>
    <font>
      <b/>
      <sz val="11.000000"/>
      <name val="Times New Roman"/>
    </font>
    <font>
      <b/>
      <sz val="11.000000"/>
      <name val="Calibri"/>
    </font>
    <font>
      <b/>
      <sz val="9.000000"/>
      <name val="Times New Roman"/>
    </font>
    <font>
      <b/>
      <i/>
      <sz val="9.000000"/>
      <name val="Times New Roman"/>
    </font>
    <font>
      <sz val="9.000000"/>
      <name val="Arial Cyr"/>
    </font>
    <font>
      <sz val="11.000000"/>
      <color indexed="2"/>
      <name val="Times New Roman"/>
    </font>
    <font>
      <b/>
      <sz val="9.000000"/>
      <name val="Arial Cyr"/>
    </font>
    <font>
      <b/>
      <sz val="20.000000"/>
      <name val="Times New Roman"/>
    </font>
    <font>
      <sz val="14.000000"/>
      <name val="Times New Roman"/>
    </font>
    <font>
      <b/>
      <sz val="12.000000"/>
      <name val="Times New Roman"/>
    </font>
    <font>
      <b/>
      <sz val="14.000000"/>
      <name val="Times New Roman"/>
    </font>
    <font>
      <b/>
      <sz val="12.000000"/>
      <color theme="1"/>
      <name val="Times New Roman"/>
    </font>
    <font>
      <sz val="12.000000"/>
      <color indexed="2"/>
      <name val="Times New Roman"/>
    </font>
    <font>
      <sz val="12.000000"/>
      <color theme="1"/>
      <name val="Times New Roman"/>
    </font>
    <font>
      <sz val="12.000000"/>
      <name val="Times New Roman"/>
    </font>
    <font>
      <sz val="11.000000"/>
      <color theme="1"/>
      <name val="Times New Roman"/>
    </font>
    <font>
      <b/>
      <i/>
      <sz val="11.000000"/>
      <name val="Times New Roman"/>
    </font>
    <font>
      <b/>
      <i/>
      <sz val="11.000000"/>
      <name val="Calibri"/>
    </font>
    <font>
      <sz val="10.000000"/>
      <color indexed="2"/>
      <name val="Times New Roman"/>
    </font>
    <font>
      <sz val="10.000000"/>
      <name val="Calibri"/>
    </font>
    <font>
      <b/>
      <i/>
      <sz val="10.000000"/>
      <name val="Times New Roman"/>
    </font>
    <font>
      <sz val="11.000000"/>
      <color indexed="65"/>
      <name val="Times New Roman"/>
    </font>
    <font>
      <sz val="11.000000"/>
      <color indexed="65"/>
      <name val="Calibri"/>
    </font>
    <font>
      <b/>
      <sz val="14.000000"/>
      <name val="Calibri"/>
    </font>
    <font>
      <b/>
      <sz val="11.000000"/>
      <name val="Arial Cyr"/>
    </font>
    <font>
      <i/>
      <sz val="11.000000"/>
      <name val="Calibri"/>
    </font>
    <font>
      <sz val="10.000000"/>
      <name val="Courier New"/>
    </font>
    <font>
      <sz val="11.000000"/>
      <color indexed="2"/>
      <name val="Calibri"/>
    </font>
    <font>
      <b/>
      <sz val="11.000000"/>
      <color indexed="65"/>
      <name val="Calibri"/>
    </font>
    <font>
      <sz val="9.000000"/>
      <color indexed="65"/>
      <name val="Arial Cyr"/>
    </font>
  </fonts>
  <fills count="12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27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43"/>
        <bgColor indexed="26"/>
      </patternFill>
    </fill>
    <fill>
      <patternFill patternType="solid">
        <fgColor indexed="44"/>
        <bgColor indexed="31"/>
      </patternFill>
    </fill>
    <fill>
      <patternFill patternType="solid">
        <fgColor indexed="65"/>
        <bgColor indexed="26"/>
      </patternFill>
    </fill>
    <fill>
      <patternFill patternType="solid">
        <fgColor theme="0"/>
        <bgColor theme="0"/>
      </patternFill>
    </fill>
    <fill>
      <patternFill patternType="solid">
        <fgColor indexed="40"/>
        <bgColor indexed="49"/>
      </patternFill>
    </fill>
    <fill>
      <patternFill patternType="solid">
        <fgColor theme="0"/>
        <bgColor indexed="26"/>
      </patternFill>
    </fill>
    <fill>
      <patternFill patternType="solid">
        <fgColor theme="0"/>
        <bgColor indexed="5"/>
      </patternFill>
    </fill>
  </fills>
  <borders count="8">
    <border>
      <left style="none"/>
      <right style="none"/>
      <top style="none"/>
      <bottom style="none"/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none"/>
      <right style="none"/>
      <top style="thin">
        <color auto="1"/>
      </top>
      <bottom style="none"/>
      <diagonal style="none"/>
    </border>
    <border>
      <left style="thin">
        <color auto="1"/>
      </left>
      <right style="thin">
        <color auto="1"/>
      </right>
      <top style="thin">
        <color auto="1"/>
      </top>
      <bottom style="none"/>
      <diagonal style="none"/>
    </border>
    <border>
      <left style="thin">
        <color auto="1"/>
      </left>
      <right style="none"/>
      <top style="none"/>
      <bottom style="none"/>
      <diagonal style="none"/>
    </border>
    <border>
      <left style="thin">
        <color auto="1"/>
      </left>
      <right style="none"/>
      <top style="thin">
        <color auto="1"/>
      </top>
      <bottom style="thin">
        <color auto="1"/>
      </bottom>
      <diagonal style="none"/>
    </border>
    <border>
      <left style="none"/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none"/>
      <right style="none"/>
      <top style="none"/>
      <bottom style="thin">
        <color auto="1"/>
      </bottom>
      <diagonal style="none"/>
    </border>
  </borders>
  <cellStyleXfs count="7">
    <xf fontId="0" fillId="0" borderId="0" numFmtId="0" applyNumberFormat="1" applyFont="1" applyFill="1" applyBorder="1"/>
    <xf fontId="1" fillId="0" borderId="0" numFmtId="0" applyNumberFormat="1" applyFont="1" applyFill="1" applyBorder="1"/>
    <xf fontId="2" fillId="0" borderId="0" numFmtId="9" applyNumberFormat="1" applyFont="1" applyFill="1" applyBorder="1"/>
    <xf fontId="3" fillId="0" borderId="0" numFmtId="0" applyNumberFormat="1" applyFont="1" applyFill="1" applyBorder="1"/>
    <xf fontId="4" fillId="0" borderId="0" numFmtId="0" applyNumberFormat="1" applyFont="1" applyFill="1" applyBorder="1"/>
    <xf fontId="2" fillId="0" borderId="0" numFmtId="160" applyNumberFormat="1" applyFont="1" applyFill="1" applyBorder="1"/>
    <xf fontId="5" fillId="0" borderId="0" numFmtId="161" applyNumberFormat="1" applyFont="1" applyFill="1" applyBorder="1"/>
  </cellStyleXfs>
  <cellXfs count="322">
    <xf fontId="0" fillId="0" borderId="0" numFmtId="0" xfId="0"/>
    <xf fontId="6" fillId="0" borderId="0" numFmtId="0" xfId="0" applyFont="1"/>
    <xf fontId="7" fillId="0" borderId="0" numFmtId="0" xfId="0" applyFont="1" applyAlignment="1">
      <alignment horizontal="center" vertical="top" wrapText="1"/>
    </xf>
    <xf fontId="8" fillId="0" borderId="0" numFmtId="0" xfId="0" applyFont="1"/>
    <xf fontId="8" fillId="0" borderId="0" numFmtId="162" xfId="0" applyNumberFormat="1" applyFont="1"/>
    <xf fontId="9" fillId="0" borderId="0" numFmtId="0" xfId="0" applyFont="1" applyAlignment="1">
      <alignment horizontal="center"/>
    </xf>
    <xf fontId="10" fillId="0" borderId="1" numFmtId="0" xfId="0" applyFont="1" applyBorder="1" applyAlignment="1">
      <alignment horizontal="center" vertical="center" wrapText="1"/>
    </xf>
    <xf fontId="10" fillId="0" borderId="1" numFmtId="49" xfId="0" applyNumberFormat="1" applyFont="1" applyBorder="1" applyAlignment="1">
      <alignment horizontal="center" vertical="center" wrapText="1"/>
    </xf>
    <xf fontId="11" fillId="2" borderId="1" numFmtId="49" xfId="0" applyNumberFormat="1" applyFont="1" applyFill="1" applyBorder="1" applyAlignment="1">
      <alignment horizontal="center" vertical="center" wrapText="1"/>
    </xf>
    <xf fontId="12" fillId="0" borderId="1" numFmtId="49" xfId="0" applyNumberFormat="1" applyFont="1" applyBorder="1" applyAlignment="1">
      <alignment horizontal="center" vertical="center" wrapText="1"/>
    </xf>
    <xf fontId="11" fillId="3" borderId="1" numFmtId="0" xfId="0" applyFont="1" applyFill="1" applyBorder="1" applyAlignment="1">
      <alignment horizontal="center" vertical="center" wrapText="1"/>
    </xf>
    <xf fontId="11" fillId="4" borderId="1" numFmtId="0" xfId="0" applyFont="1" applyFill="1" applyBorder="1" applyAlignment="1">
      <alignment horizontal="center" vertical="center" wrapText="1"/>
    </xf>
    <xf fontId="11" fillId="5" borderId="1" numFmtId="0" xfId="0" applyFont="1" applyFill="1" applyBorder="1" applyAlignment="1">
      <alignment horizontal="center" vertical="center" wrapText="1"/>
    </xf>
    <xf fontId="11" fillId="0" borderId="1" numFmtId="0" xfId="0" applyFont="1" applyBorder="1" applyAlignment="1">
      <alignment horizontal="center" vertical="center" wrapText="1"/>
    </xf>
    <xf fontId="10" fillId="0" borderId="1" numFmtId="0" xfId="0" applyFont="1" applyBorder="1" applyAlignment="1">
      <alignment horizontal="center" vertical="center"/>
    </xf>
    <xf fontId="10" fillId="0" borderId="1" numFmtId="0" xfId="0" applyFont="1" applyBorder="1" applyAlignment="1">
      <alignment horizontal="center"/>
    </xf>
    <xf fontId="10" fillId="0" borderId="1" numFmtId="1" xfId="0" applyNumberFormat="1" applyFont="1" applyBorder="1" applyAlignment="1">
      <alignment horizontal="center" vertical="center" wrapText="1"/>
    </xf>
    <xf fontId="10" fillId="0" borderId="1" numFmtId="3" xfId="0" applyNumberFormat="1" applyFont="1" applyBorder="1" applyAlignment="1">
      <alignment horizontal="center" vertical="center" wrapText="1"/>
    </xf>
    <xf fontId="11" fillId="2" borderId="1" numFmtId="3" xfId="0" applyNumberFormat="1" applyFont="1" applyFill="1" applyBorder="1" applyAlignment="1">
      <alignment horizontal="center" vertical="center" wrapText="1"/>
    </xf>
    <xf fontId="0" fillId="0" borderId="1" numFmtId="0" xfId="0" applyBorder="1" applyAlignment="1">
      <alignment horizontal="center"/>
    </xf>
    <xf fontId="11" fillId="3" borderId="1" numFmtId="0" xfId="0" applyFont="1" applyFill="1" applyBorder="1" applyAlignment="1">
      <alignment horizontal="center"/>
    </xf>
    <xf fontId="10" fillId="4" borderId="1" numFmtId="0" xfId="0" applyFont="1" applyFill="1" applyBorder="1" applyAlignment="1">
      <alignment horizontal="center"/>
    </xf>
    <xf fontId="10" fillId="5" borderId="1" numFmtId="0" xfId="0" applyFont="1" applyFill="1" applyBorder="1" applyAlignment="1">
      <alignment horizontal="center"/>
    </xf>
    <xf fontId="0" fillId="0" borderId="0" numFmtId="0" xfId="0" applyAlignment="1">
      <alignment horizontal="center"/>
    </xf>
    <xf fontId="10" fillId="0" borderId="1" numFmtId="4" xfId="0" applyNumberFormat="1" applyFont="1" applyBorder="1" applyAlignment="1">
      <alignment horizontal="left" vertical="center" wrapText="1"/>
    </xf>
    <xf fontId="6" fillId="0" borderId="1" numFmtId="4" xfId="0" applyNumberFormat="1" applyFont="1" applyBorder="1" applyAlignment="1">
      <alignment horizontal="center" vertical="center" wrapText="1"/>
    </xf>
    <xf fontId="6" fillId="0" borderId="1" numFmtId="162" xfId="0" applyNumberFormat="1" applyFont="1" applyBorder="1" applyAlignment="1">
      <alignment horizontal="center" vertical="center" wrapText="1"/>
    </xf>
    <xf fontId="13" fillId="2" borderId="1" numFmtId="162" xfId="0" applyNumberFormat="1" applyFont="1" applyFill="1" applyBorder="1" applyAlignment="1">
      <alignment horizontal="center" vertical="center" wrapText="1"/>
    </xf>
    <xf fontId="0" fillId="0" borderId="1" numFmtId="0" xfId="0" applyBorder="1"/>
    <xf fontId="13" fillId="3" borderId="1" numFmtId="162" xfId="0" applyNumberFormat="1" applyFont="1" applyFill="1" applyBorder="1" applyAlignment="1">
      <alignment horizontal="center" vertical="center"/>
    </xf>
    <xf fontId="13" fillId="4" borderId="1" numFmtId="162" xfId="0" applyNumberFormat="1" applyFont="1" applyFill="1" applyBorder="1" applyAlignment="1">
      <alignment horizontal="center" vertical="center"/>
    </xf>
    <xf fontId="13" fillId="5" borderId="1" numFmtId="162" xfId="0" applyNumberFormat="1" applyFont="1" applyFill="1" applyBorder="1" applyAlignment="1">
      <alignment horizontal="center" vertical="center"/>
    </xf>
    <xf fontId="11" fillId="6" borderId="1" numFmtId="163" xfId="0" applyNumberFormat="1" applyFont="1" applyFill="1" applyBorder="1" applyAlignment="1">
      <alignment horizontal="center" vertical="center" wrapText="1"/>
    </xf>
    <xf fontId="6" fillId="0" borderId="1" numFmtId="162" xfId="0" applyNumberFormat="1" applyFont="1" applyBorder="1" applyAlignment="1">
      <alignment horizontal="center" vertical="center"/>
    </xf>
    <xf fontId="10" fillId="0" borderId="1" numFmtId="162" xfId="0" applyNumberFormat="1" applyFont="1" applyBorder="1" applyAlignment="1">
      <alignment horizontal="center" vertical="top" wrapText="1"/>
    </xf>
    <xf fontId="0" fillId="0" borderId="0" numFmtId="162" xfId="0" applyNumberFormat="1" applyAlignment="1">
      <alignment horizontal="center"/>
    </xf>
    <xf fontId="6" fillId="7" borderId="1" numFmtId="162" xfId="0" applyNumberFormat="1" applyFont="1" applyFill="1" applyBorder="1" applyAlignment="1">
      <alignment horizontal="center" vertical="center" wrapText="1"/>
    </xf>
    <xf fontId="0" fillId="0" borderId="0" numFmtId="162" xfId="0" applyNumberFormat="1"/>
    <xf fontId="6" fillId="0" borderId="1" numFmtId="0" xfId="0" applyFont="1" applyBorder="1" applyAlignment="1">
      <alignment horizontal="center"/>
    </xf>
    <xf fontId="6" fillId="0" borderId="1" numFmtId="162" xfId="0" applyNumberFormat="1" applyFont="1" applyBorder="1" applyAlignment="1">
      <alignment horizontal="center"/>
    </xf>
    <xf fontId="11" fillId="5" borderId="1" numFmtId="163" xfId="0" applyNumberFormat="1" applyFont="1" applyFill="1" applyBorder="1" applyAlignment="1">
      <alignment horizontal="center" vertical="center" wrapText="1"/>
    </xf>
    <xf fontId="14" fillId="0" borderId="0" numFmtId="0" xfId="0" applyFont="1"/>
    <xf fontId="11" fillId="0" borderId="1" numFmtId="0" xfId="0" applyFont="1" applyBorder="1"/>
    <xf fontId="11" fillId="0" borderId="1" numFmtId="4" xfId="0" applyNumberFormat="1" applyFont="1" applyBorder="1" applyAlignment="1">
      <alignment horizontal="left" vertical="center" wrapText="1"/>
    </xf>
    <xf fontId="13" fillId="0" borderId="1" numFmtId="4" xfId="0" applyNumberFormat="1" applyFont="1" applyBorder="1" applyAlignment="1">
      <alignment horizontal="center" vertical="center" wrapText="1"/>
    </xf>
    <xf fontId="13" fillId="0" borderId="1" numFmtId="162" xfId="0" applyNumberFormat="1" applyFont="1" applyBorder="1" applyAlignment="1">
      <alignment horizontal="center" vertical="center" wrapText="1"/>
    </xf>
    <xf fontId="11" fillId="5" borderId="1" numFmtId="164" xfId="0" applyNumberFormat="1" applyFont="1" applyFill="1" applyBorder="1" applyAlignment="1">
      <alignment horizontal="center" vertical="center" wrapText="1"/>
    </xf>
    <xf fontId="15" fillId="0" borderId="0" numFmtId="0" xfId="0" applyFont="1"/>
    <xf fontId="15" fillId="0" borderId="0" numFmtId="4" xfId="0" applyNumberFormat="1" applyFont="1" applyAlignment="1">
      <alignment horizontal="left" vertical="center" wrapText="1"/>
    </xf>
    <xf fontId="15" fillId="0" borderId="0" numFmtId="165" xfId="0" applyNumberFormat="1" applyFont="1" applyAlignment="1">
      <alignment horizontal="center" vertical="center" wrapText="1"/>
    </xf>
    <xf fontId="15" fillId="0" borderId="0" numFmtId="165" xfId="0" applyNumberFormat="1" applyFont="1" applyAlignment="1">
      <alignment horizontal="right" vertical="center" wrapText="1"/>
    </xf>
    <xf fontId="16" fillId="0" borderId="0" numFmtId="165" xfId="0" applyNumberFormat="1" applyFont="1" applyAlignment="1">
      <alignment horizontal="center" vertical="center" wrapText="1"/>
    </xf>
    <xf fontId="15" fillId="0" borderId="0" numFmtId="165" xfId="0" applyNumberFormat="1" applyFont="1" applyAlignment="1">
      <alignment horizontal="left"/>
    </xf>
    <xf fontId="15" fillId="0" borderId="0" numFmtId="165" xfId="0" applyNumberFormat="1" applyFont="1" applyAlignment="1">
      <alignment horizontal="right"/>
    </xf>
    <xf fontId="15" fillId="0" borderId="0" numFmtId="165" xfId="0" applyNumberFormat="1" applyFont="1" applyAlignment="1">
      <alignment horizontal="center"/>
    </xf>
    <xf fontId="8" fillId="0" borderId="0" numFmtId="162" xfId="0" applyNumberFormat="1" applyFont="1" applyAlignment="1">
      <alignment horizontal="center"/>
    </xf>
    <xf fontId="17" fillId="0" borderId="0" numFmtId="0" xfId="0" applyFont="1"/>
    <xf fontId="17" fillId="0" borderId="0" numFmtId="165" xfId="0" applyNumberFormat="1" applyFont="1"/>
    <xf fontId="17" fillId="0" borderId="0" numFmtId="2" xfId="0" applyNumberFormat="1" applyFont="1"/>
    <xf fontId="11" fillId="4" borderId="1" numFmtId="49" xfId="0" applyNumberFormat="1" applyFont="1" applyFill="1" applyBorder="1" applyAlignment="1">
      <alignment horizontal="center" vertical="center" wrapText="1"/>
    </xf>
    <xf fontId="10" fillId="0" borderId="1" numFmtId="0" xfId="0" applyFont="1" applyBorder="1"/>
    <xf fontId="10" fillId="0" borderId="1" numFmtId="1" xfId="0" applyNumberFormat="1" applyFont="1" applyBorder="1" applyAlignment="1">
      <alignment horizontal="center"/>
    </xf>
    <xf fontId="10" fillId="2" borderId="1" numFmtId="1" xfId="0" applyNumberFormat="1" applyFont="1" applyFill="1" applyBorder="1" applyAlignment="1">
      <alignment horizontal="center" vertical="center" wrapText="1"/>
    </xf>
    <xf fontId="10" fillId="3" borderId="1" numFmtId="1" xfId="0" applyNumberFormat="1" applyFont="1" applyFill="1" applyBorder="1" applyAlignment="1">
      <alignment horizontal="center"/>
    </xf>
    <xf fontId="10" fillId="4" borderId="1" numFmtId="1" xfId="0" applyNumberFormat="1" applyFont="1" applyFill="1" applyBorder="1" applyAlignment="1">
      <alignment horizontal="center" vertical="center" wrapText="1"/>
    </xf>
    <xf fontId="10" fillId="5" borderId="1" numFmtId="1" xfId="0" applyNumberFormat="1" applyFont="1" applyFill="1" applyBorder="1" applyAlignment="1">
      <alignment horizontal="center"/>
    </xf>
    <xf fontId="6" fillId="0" borderId="1" numFmtId="0" xfId="0" applyFont="1" applyBorder="1" applyAlignment="1">
      <alignment horizontal="center" vertical="top"/>
    </xf>
    <xf fontId="10" fillId="0" borderId="1" numFmtId="4" xfId="0" applyNumberFormat="1" applyFont="1" applyBorder="1" applyAlignment="1">
      <alignment horizontal="left" vertical="top" wrapText="1"/>
    </xf>
    <xf fontId="13" fillId="6" borderId="1" numFmtId="162" xfId="0" applyNumberFormat="1" applyFont="1" applyFill="1" applyBorder="1" applyAlignment="1">
      <alignment horizontal="center" vertical="center"/>
    </xf>
    <xf fontId="0" fillId="0" borderId="0" numFmtId="166" xfId="0" applyNumberFormat="1"/>
    <xf fontId="0" fillId="0" borderId="0" numFmtId="164" xfId="0" applyNumberFormat="1"/>
    <xf fontId="18" fillId="0" borderId="1" numFmtId="162" xfId="0" applyNumberFormat="1" applyFont="1" applyBorder="1" applyAlignment="1">
      <alignment horizontal="center" vertical="center" wrapText="1"/>
    </xf>
    <xf fontId="6" fillId="0" borderId="1" numFmtId="0" xfId="0" applyFont="1" applyBorder="1"/>
    <xf fontId="13" fillId="0" borderId="1" numFmtId="4" xfId="0" applyNumberFormat="1" applyFont="1" applyBorder="1" applyAlignment="1">
      <alignment horizontal="left" vertical="center" wrapText="1"/>
    </xf>
    <xf fontId="19" fillId="0" borderId="0" numFmtId="4" xfId="0" applyNumberFormat="1" applyFont="1" applyAlignment="1">
      <alignment horizontal="left" vertical="center" wrapText="1"/>
    </xf>
    <xf fontId="19" fillId="0" borderId="0" numFmtId="165" xfId="0" applyNumberFormat="1" applyFont="1" applyAlignment="1">
      <alignment horizontal="center" vertical="center" wrapText="1"/>
    </xf>
    <xf fontId="19" fillId="0" borderId="0" numFmtId="162" xfId="0" applyNumberFormat="1" applyFont="1" applyAlignment="1">
      <alignment horizontal="center" vertical="center" wrapText="1"/>
    </xf>
    <xf fontId="19" fillId="0" borderId="0" numFmtId="167" xfId="5" applyNumberFormat="1" applyFont="1" applyAlignment="1" applyProtection="1">
      <alignment horizontal="right" vertical="center" wrapText="1"/>
    </xf>
    <xf fontId="19" fillId="0" borderId="0" numFmtId="162" xfId="0" applyNumberFormat="1" applyFont="1" applyAlignment="1">
      <alignment horizontal="right"/>
    </xf>
    <xf fontId="19" fillId="0" borderId="0" numFmtId="162" xfId="0" applyNumberFormat="1" applyFont="1" applyAlignment="1">
      <alignment horizontal="right" vertical="center" wrapText="1"/>
    </xf>
    <xf fontId="19" fillId="0" borderId="0" numFmtId="165" xfId="0" applyNumberFormat="1" applyFont="1" applyAlignment="1">
      <alignment horizontal="right" vertical="center"/>
    </xf>
    <xf fontId="19" fillId="0" borderId="0" numFmtId="4" xfId="0" applyNumberFormat="1" applyFont="1" applyAlignment="1">
      <alignment horizontal="center" vertical="center"/>
    </xf>
    <xf fontId="0" fillId="0" borderId="1" numFmtId="162" xfId="0" applyNumberFormat="1" applyBorder="1" applyAlignment="1">
      <alignment horizontal="center"/>
    </xf>
    <xf fontId="17" fillId="0" borderId="0" numFmtId="162" xfId="0" applyNumberFormat="1" applyFont="1"/>
    <xf fontId="17" fillId="0" borderId="0" numFmtId="4" xfId="0" applyNumberFormat="1" applyFont="1" applyAlignment="1">
      <alignment horizontal="center"/>
    </xf>
    <xf fontId="17" fillId="0" borderId="0" numFmtId="0" xfId="0" applyFont="1" applyAlignment="1">
      <alignment horizontal="center"/>
    </xf>
    <xf fontId="10" fillId="0" borderId="1" numFmtId="162" xfId="0" applyNumberFormat="1" applyFont="1" applyBorder="1"/>
    <xf fontId="10" fillId="0" borderId="1" numFmtId="0" xfId="0" applyFont="1" applyBorder="1" applyAlignment="1">
      <alignment horizontal="center" vertical="top"/>
    </xf>
    <xf fontId="13" fillId="3" borderId="1" numFmtId="162" xfId="0" applyNumberFormat="1" applyFont="1" applyFill="1" applyBorder="1" applyAlignment="1">
      <alignment horizontal="center" vertical="top"/>
    </xf>
    <xf fontId="13" fillId="4" borderId="1" numFmtId="162" xfId="0" applyNumberFormat="1" applyFont="1" applyFill="1" applyBorder="1" applyAlignment="1">
      <alignment horizontal="center"/>
    </xf>
    <xf fontId="13" fillId="5" borderId="1" numFmtId="162" xfId="0" applyNumberFormat="1" applyFont="1" applyFill="1" applyBorder="1" applyAlignment="1">
      <alignment horizontal="center"/>
    </xf>
    <xf fontId="13" fillId="6" borderId="1" numFmtId="162" xfId="0" applyNumberFormat="1" applyFont="1" applyFill="1" applyBorder="1" applyAlignment="1">
      <alignment horizontal="center"/>
    </xf>
    <xf fontId="11" fillId="0" borderId="1" numFmtId="0" xfId="0" applyFont="1" applyBorder="1" applyAlignment="1">
      <alignment vertical="top"/>
    </xf>
    <xf fontId="11" fillId="0" borderId="1" numFmtId="4" xfId="0" applyNumberFormat="1" applyFont="1" applyBorder="1" applyAlignment="1">
      <alignment horizontal="left" vertical="top" wrapText="1"/>
    </xf>
    <xf fontId="17" fillId="0" borderId="2" numFmtId="0" xfId="0" applyFont="1" applyBorder="1" applyAlignment="1">
      <alignment horizontal="left"/>
    </xf>
    <xf fontId="20" fillId="0" borderId="0" numFmtId="0" xfId="0" applyFont="1" applyAlignment="1">
      <alignment horizontal="center" vertical="center" wrapText="1"/>
    </xf>
    <xf fontId="6" fillId="0" borderId="0" numFmtId="0" xfId="0" applyFont="1" applyAlignment="1">
      <alignment horizontal="center"/>
    </xf>
    <xf fontId="6" fillId="0" borderId="0" numFmtId="0" xfId="0" applyFont="1" applyAlignment="1">
      <alignment horizontal="center" wrapText="1"/>
    </xf>
    <xf fontId="6" fillId="0" borderId="0" numFmtId="0" xfId="0" applyFont="1" applyAlignment="1">
      <alignment horizontal="left" vertical="center"/>
    </xf>
    <xf fontId="7" fillId="8" borderId="0" numFmtId="0" xfId="0" applyFont="1" applyFill="1" applyAlignment="1">
      <alignment horizontal="center" vertical="center"/>
    </xf>
    <xf fontId="7" fillId="0" borderId="0" numFmtId="0" xfId="0" applyFont="1" applyAlignment="1">
      <alignment horizontal="center"/>
    </xf>
    <xf fontId="21" fillId="0" borderId="0" numFmtId="168" xfId="0" applyNumberFormat="1" applyFont="1"/>
    <xf fontId="22" fillId="0" borderId="0" numFmtId="169" xfId="0" applyNumberFormat="1" applyFont="1" applyAlignment="1">
      <alignment horizontal="center"/>
    </xf>
    <xf fontId="22" fillId="0" borderId="0" numFmtId="0" xfId="0" applyFont="1" applyAlignment="1">
      <alignment horizontal="center"/>
    </xf>
    <xf fontId="23" fillId="0" borderId="0" numFmtId="0" xfId="0" applyFont="1" applyAlignment="1">
      <alignment horizontal="left" vertical="top" wrapText="1"/>
    </xf>
    <xf fontId="21" fillId="0" borderId="0" numFmtId="0" xfId="0" applyFont="1" applyAlignment="1">
      <alignment horizontal="left" vertical="top" wrapText="1"/>
    </xf>
    <xf fontId="22" fillId="0" borderId="0" numFmtId="167" xfId="0" applyNumberFormat="1" applyFont="1" applyAlignment="1">
      <alignment vertical="center" wrapText="1"/>
    </xf>
    <xf fontId="24" fillId="0" borderId="0" numFmtId="170" xfId="0" applyNumberFormat="1" applyFont="1" applyAlignment="1">
      <alignment horizontal="center" vertical="center"/>
    </xf>
    <xf fontId="6" fillId="0" borderId="0" numFmtId="168" xfId="0" applyNumberFormat="1" applyFont="1"/>
    <xf fontId="6" fillId="0" borderId="0" numFmtId="0" xfId="0" applyFont="1" applyAlignment="1">
      <alignment horizontal="center" vertical="center"/>
    </xf>
    <xf fontId="25" fillId="0" borderId="0" numFmtId="167" xfId="0" applyNumberFormat="1" applyFont="1"/>
    <xf fontId="6" fillId="0" borderId="0" numFmtId="171" xfId="0" applyNumberFormat="1" applyFont="1"/>
    <xf fontId="26" fillId="0" borderId="0" numFmtId="167" xfId="0" applyNumberFormat="1" applyFont="1"/>
    <xf fontId="6" fillId="0" borderId="0" numFmtId="164" xfId="0" applyNumberFormat="1" applyFont="1"/>
    <xf fontId="6" fillId="0" borderId="0" numFmtId="0" xfId="0" applyFont="1" applyAlignment="1">
      <alignment horizontal="center" vertical="top" wrapText="1"/>
    </xf>
    <xf fontId="25" fillId="0" borderId="0" numFmtId="167" xfId="0" applyNumberFormat="1" applyFont="1" applyAlignment="1">
      <alignment vertical="center"/>
    </xf>
    <xf fontId="6" fillId="0" borderId="0" numFmtId="0" xfId="0" applyFont="1" applyAlignment="1">
      <alignment horizontal="center" vertical="center" wrapText="1"/>
    </xf>
    <xf fontId="6" fillId="0" borderId="0" numFmtId="172" xfId="0" applyNumberFormat="1" applyFont="1" applyAlignment="1">
      <alignment vertical="center"/>
    </xf>
    <xf fontId="6" fillId="0" borderId="0" numFmtId="173" xfId="0" applyNumberFormat="1" applyFont="1"/>
    <xf fontId="6" fillId="0" borderId="0" numFmtId="4" xfId="0" applyNumberFormat="1" applyFont="1" applyAlignment="1">
      <alignment horizontal="center" vertical="center"/>
    </xf>
    <xf fontId="26" fillId="0" borderId="0" numFmtId="167" xfId="0" applyNumberFormat="1" applyFont="1" applyAlignment="1">
      <alignment vertical="center"/>
    </xf>
    <xf fontId="6" fillId="0" borderId="0" numFmtId="164" xfId="0" applyNumberFormat="1" applyFont="1" applyAlignment="1">
      <alignment horizontal="center" vertical="center"/>
    </xf>
    <xf fontId="6" fillId="0" borderId="0" numFmtId="163" xfId="0" applyNumberFormat="1" applyFont="1" applyAlignment="1">
      <alignment horizontal="center" vertical="center"/>
    </xf>
    <xf fontId="6" fillId="0" borderId="0" numFmtId="173" xfId="0" applyNumberFormat="1" applyFont="1" applyAlignment="1">
      <alignment vertical="center"/>
    </xf>
    <xf fontId="6" fillId="0" borderId="0" numFmtId="170" xfId="0" applyNumberFormat="1" applyFont="1" applyAlignment="1">
      <alignment vertical="center"/>
    </xf>
    <xf fontId="27" fillId="0" borderId="0" numFmtId="167" xfId="0" applyNumberFormat="1" applyFont="1" applyAlignment="1">
      <alignment vertical="center"/>
    </xf>
    <xf fontId="6" fillId="0" borderId="0" numFmtId="172" xfId="0" applyNumberFormat="1" applyFont="1" applyAlignment="1">
      <alignment horizontal="center" vertical="center"/>
    </xf>
    <xf fontId="27" fillId="0" borderId="0" numFmtId="0" xfId="0" applyFont="1" applyAlignment="1">
      <alignment horizontal="left" vertical="center" wrapText="1"/>
    </xf>
    <xf fontId="25" fillId="0" borderId="0" numFmtId="174" xfId="0" applyNumberFormat="1" applyFont="1" applyAlignment="1">
      <alignment vertical="center"/>
    </xf>
    <xf fontId="27" fillId="0" borderId="0" numFmtId="174" xfId="0" applyNumberFormat="1" applyFont="1"/>
    <xf fontId="6" fillId="0" borderId="0" numFmtId="175" xfId="0" applyNumberFormat="1" applyFont="1"/>
    <xf fontId="6" fillId="0" borderId="0" numFmtId="176" xfId="0" applyNumberFormat="1" applyFont="1"/>
    <xf fontId="0" fillId="0" borderId="0" numFmtId="0" xfId="0"/>
    <xf fontId="6" fillId="0" borderId="1" numFmtId="0" xfId="0" applyFont="1" applyBorder="1" applyAlignment="1">
      <alignment horizontal="center" vertical="center" wrapText="1"/>
    </xf>
    <xf fontId="6" fillId="0" borderId="1" numFmtId="0" xfId="0" applyFont="1" applyBorder="1" applyAlignment="1">
      <alignment horizontal="center" vertical="top" wrapText="1"/>
    </xf>
    <xf fontId="13" fillId="0" borderId="1" numFmtId="0" xfId="0" applyFont="1" applyBorder="1" applyAlignment="1">
      <alignment horizontal="center" vertical="center" wrapText="1"/>
    </xf>
    <xf fontId="13" fillId="0" borderId="1" numFmtId="0" xfId="0" applyFont="1" applyBorder="1" applyAlignment="1">
      <alignment horizontal="center" vertical="center"/>
    </xf>
    <xf fontId="13" fillId="0" borderId="1" numFmtId="176" xfId="0" applyNumberFormat="1" applyFont="1" applyBorder="1" applyAlignment="1">
      <alignment horizontal="center" vertical="center"/>
    </xf>
    <xf fontId="13" fillId="0" borderId="0" numFmtId="4" xfId="0" applyNumberFormat="1" applyFont="1" applyAlignment="1">
      <alignment vertical="center"/>
    </xf>
    <xf fontId="13" fillId="0" borderId="0" numFmtId="0" xfId="0" applyFont="1" applyAlignment="1">
      <alignment horizontal="center" vertical="center" wrapText="1"/>
    </xf>
    <xf fontId="6" fillId="0" borderId="1" numFmtId="0" xfId="0" applyFont="1" applyBorder="1" applyAlignment="1">
      <alignment horizontal="center" vertical="center"/>
    </xf>
    <xf fontId="0" fillId="0" borderId="0" numFmtId="0" xfId="0" applyAlignment="1">
      <alignment horizontal="center" vertical="center"/>
    </xf>
    <xf fontId="6" fillId="0" borderId="1" numFmtId="4" xfId="4" applyNumberFormat="1" applyFont="1" applyBorder="1" applyAlignment="1">
      <alignment horizontal="left" vertical="center" wrapText="1"/>
    </xf>
    <xf fontId="6" fillId="0" borderId="1" numFmtId="3" xfId="2" applyNumberFormat="1" applyFont="1" applyBorder="1" applyAlignment="1">
      <alignment horizontal="right"/>
    </xf>
    <xf fontId="28" fillId="0" borderId="1" numFmtId="170" xfId="0" applyNumberFormat="1" applyFont="1" applyBorder="1"/>
    <xf fontId="18" fillId="0" borderId="1" numFmtId="170" xfId="0" applyNumberFormat="1" applyFont="1" applyBorder="1"/>
    <xf fontId="18" fillId="0" borderId="1" numFmtId="167" xfId="0" applyNumberFormat="1" applyFont="1" applyBorder="1" applyAlignment="1">
      <alignment horizontal="center" vertical="center"/>
    </xf>
    <xf fontId="6" fillId="0" borderId="0" numFmtId="167" xfId="0" applyNumberFormat="1" applyFont="1"/>
    <xf fontId="6" fillId="0" borderId="0" numFmtId="4" xfId="4" applyNumberFormat="1" applyFont="1" applyAlignment="1">
      <alignment horizontal="left" vertical="center" wrapText="1"/>
    </xf>
    <xf fontId="0" fillId="0" borderId="0" numFmtId="175" xfId="0" applyNumberFormat="1"/>
    <xf fontId="29" fillId="0" borderId="1" numFmtId="4" xfId="4" applyNumberFormat="1" applyFont="1" applyBorder="1" applyAlignment="1">
      <alignment horizontal="left" vertical="center" wrapText="1"/>
    </xf>
    <xf fontId="29" fillId="0" borderId="1" numFmtId="3" xfId="4" applyNumberFormat="1" applyFont="1" applyBorder="1" applyAlignment="1">
      <alignment horizontal="right" vertical="center" wrapText="1"/>
    </xf>
    <xf fontId="29" fillId="0" borderId="1" numFmtId="3" xfId="4" applyNumberFormat="1" applyFont="1" applyBorder="1" applyAlignment="1">
      <alignment horizontal="center" vertical="center" wrapText="1"/>
    </xf>
    <xf fontId="29" fillId="0" borderId="1" numFmtId="170" xfId="0" applyNumberFormat="1" applyFont="1" applyBorder="1"/>
    <xf fontId="29" fillId="0" borderId="1" numFmtId="174" xfId="0" applyNumberFormat="1" applyFont="1" applyBorder="1"/>
    <xf fontId="29" fillId="0" borderId="0" numFmtId="170" xfId="0" applyNumberFormat="1" applyFont="1"/>
    <xf fontId="29" fillId="0" borderId="0" numFmtId="4" xfId="4" applyNumberFormat="1" applyFont="1" applyAlignment="1">
      <alignment horizontal="left" vertical="center" wrapText="1"/>
    </xf>
    <xf fontId="30" fillId="0" borderId="0" numFmtId="170" xfId="0" applyNumberFormat="1" applyFont="1"/>
    <xf fontId="6" fillId="0" borderId="0" numFmtId="3" xfId="0" applyNumberFormat="1" applyFont="1"/>
    <xf fontId="13" fillId="0" borderId="1" numFmtId="0" xfId="0" applyFont="1" applyBorder="1" applyAlignment="1">
      <alignment horizontal="center"/>
    </xf>
    <xf fontId="13" fillId="0" borderId="1" numFmtId="0" xfId="0" applyFont="1" applyBorder="1" applyAlignment="1">
      <alignment horizontal="center" vertical="top" wrapText="1"/>
    </xf>
    <xf fontId="10" fillId="0" borderId="1" numFmtId="0" xfId="0" applyFont="1" applyBorder="1" applyAlignment="1">
      <alignment horizontal="center" vertical="top" wrapText="1"/>
    </xf>
    <xf fontId="13" fillId="0" borderId="3" numFmtId="0" xfId="0" applyFont="1" applyBorder="1" applyAlignment="1">
      <alignment horizontal="center" vertical="top" wrapText="1"/>
    </xf>
    <xf fontId="6" fillId="0" borderId="1" numFmtId="16" xfId="0" applyNumberFormat="1" applyFont="1" applyBorder="1" applyAlignment="1">
      <alignment horizontal="center" vertical="center" wrapText="1"/>
    </xf>
    <xf fontId="27" fillId="0" borderId="1" numFmtId="4" xfId="4" applyNumberFormat="1" applyFont="1" applyBorder="1" applyAlignment="1">
      <alignment horizontal="left" vertical="center" wrapText="1"/>
    </xf>
    <xf fontId="6" fillId="0" borderId="1" numFmtId="170" xfId="0" applyNumberFormat="1" applyFont="1" applyBorder="1"/>
    <xf fontId="18" fillId="0" borderId="1" numFmtId="167" xfId="0" applyNumberFormat="1" applyFont="1" applyBorder="1"/>
    <xf fontId="13" fillId="0" borderId="1" numFmtId="4" xfId="0" applyNumberFormat="1" applyFont="1" applyBorder="1"/>
    <xf fontId="10" fillId="0" borderId="1" numFmtId="170" xfId="2" applyNumberFormat="1" applyFont="1" applyBorder="1"/>
    <xf fontId="31" fillId="0" borderId="1" numFmtId="170" xfId="2" applyNumberFormat="1" applyFont="1" applyBorder="1"/>
    <xf fontId="11" fillId="0" borderId="1" numFmtId="170" xfId="2" applyNumberFormat="1" applyFont="1" applyBorder="1"/>
    <xf fontId="31" fillId="0" borderId="1" numFmtId="170" xfId="2" applyNumberFormat="1" applyFont="1" applyBorder="1" applyAlignment="1">
      <alignment horizontal="center"/>
    </xf>
    <xf fontId="10" fillId="0" borderId="0" numFmtId="175" xfId="0" applyNumberFormat="1" applyFont="1"/>
    <xf fontId="6" fillId="0" borderId="1" numFmtId="177" xfId="4" applyNumberFormat="1" applyFont="1" applyBorder="1" applyAlignment="1">
      <alignment horizontal="center" vertical="center" wrapText="1"/>
    </xf>
    <xf fontId="6" fillId="0" borderId="1" numFmtId="165" xfId="4" applyNumberFormat="1" applyFont="1" applyBorder="1" applyAlignment="1">
      <alignment horizontal="center" vertical="center" wrapText="1"/>
    </xf>
    <xf fontId="32" fillId="0" borderId="0" numFmtId="175" xfId="0" applyNumberFormat="1" applyFont="1"/>
    <xf fontId="6" fillId="0" borderId="1" numFmtId="162" xfId="4" applyNumberFormat="1" applyFont="1" applyBorder="1" applyAlignment="1">
      <alignment horizontal="center" vertical="center" wrapText="1"/>
    </xf>
    <xf fontId="10" fillId="0" borderId="1" numFmtId="175" xfId="2" applyNumberFormat="1" applyFont="1" applyBorder="1"/>
    <xf fontId="33" fillId="0" borderId="1" numFmtId="170" xfId="0" applyNumberFormat="1" applyFont="1" applyBorder="1"/>
    <xf fontId="29" fillId="0" borderId="1" numFmtId="167" xfId="0" applyNumberFormat="1" applyFont="1" applyBorder="1"/>
    <xf fontId="13" fillId="0" borderId="1" numFmtId="170" xfId="0" applyNumberFormat="1" applyFont="1" applyBorder="1" applyAlignment="1">
      <alignment horizontal="right"/>
    </xf>
    <xf fontId="29" fillId="0" borderId="1" numFmtId="170" xfId="0" applyNumberFormat="1" applyFont="1" applyBorder="1" applyAlignment="1">
      <alignment horizontal="center"/>
    </xf>
    <xf fontId="13" fillId="0" borderId="1" numFmtId="165" xfId="4" applyNumberFormat="1" applyFont="1" applyBorder="1" applyAlignment="1">
      <alignment horizontal="center" vertical="center" wrapText="1"/>
    </xf>
    <xf fontId="27" fillId="0" borderId="4" numFmtId="4" xfId="4" applyNumberFormat="1" applyFont="1" applyBorder="1" applyAlignment="1">
      <alignment horizontal="left" wrapText="1"/>
    </xf>
    <xf fontId="6" fillId="0" borderId="0" numFmtId="165" xfId="0" applyNumberFormat="1" applyFont="1"/>
    <xf fontId="6" fillId="0" borderId="5" numFmtId="0" xfId="0" applyFont="1" applyBorder="1" applyAlignment="1">
      <alignment horizontal="center" vertical="center" wrapText="1"/>
    </xf>
    <xf fontId="6" fillId="0" borderId="1" numFmtId="164" xfId="0" applyNumberFormat="1" applyFont="1" applyBorder="1" applyAlignment="1">
      <alignment horizontal="center" vertical="center" wrapText="1"/>
    </xf>
    <xf fontId="6" fillId="0" borderId="0" numFmtId="4" xfId="0" applyNumberFormat="1" applyFont="1" applyAlignment="1">
      <alignment vertical="center"/>
    </xf>
    <xf fontId="6" fillId="0" borderId="5" numFmtId="0" xfId="0" applyFont="1" applyBorder="1" applyAlignment="1">
      <alignment horizontal="center"/>
    </xf>
    <xf fontId="6" fillId="0" borderId="6" numFmtId="0" xfId="0" applyFont="1" applyBorder="1" applyAlignment="1">
      <alignment horizontal="center"/>
    </xf>
    <xf fontId="6" fillId="0" borderId="0" numFmtId="178" xfId="0" applyNumberFormat="1" applyFont="1" applyAlignment="1">
      <alignment horizontal="center"/>
    </xf>
    <xf fontId="6" fillId="0" borderId="5" numFmtId="0" xfId="0" applyFont="1" applyBorder="1"/>
    <xf fontId="6" fillId="0" borderId="6" numFmtId="0" xfId="0" applyFont="1" applyBorder="1"/>
    <xf fontId="6" fillId="0" borderId="5" numFmtId="179" xfId="0" applyNumberFormat="1" applyFont="1" applyBorder="1"/>
    <xf fontId="6" fillId="0" borderId="1" numFmtId="179" xfId="0" applyNumberFormat="1" applyFont="1" applyBorder="1"/>
    <xf fontId="6" fillId="0" borderId="6" numFmtId="179" xfId="0" applyNumberFormat="1" applyFont="1" applyBorder="1"/>
    <xf fontId="6" fillId="0" borderId="0" numFmtId="175" xfId="5" applyNumberFormat="1" applyFont="1" applyAlignment="1" applyProtection="1">
      <alignment horizontal="center" vertical="center"/>
    </xf>
    <xf fontId="6" fillId="0" borderId="1" numFmtId="162" xfId="0" applyNumberFormat="1" applyFont="1" applyBorder="1" applyAlignment="1">
      <alignment horizontal="right"/>
    </xf>
    <xf fontId="6" fillId="0" borderId="0" numFmtId="178" xfId="0" applyNumberFormat="1" applyFont="1"/>
    <xf fontId="6" fillId="0" borderId="0" numFmtId="180" xfId="0" applyNumberFormat="1" applyFont="1" applyAlignment="1">
      <alignment horizontal="center"/>
    </xf>
    <xf fontId="6" fillId="0" borderId="0" numFmtId="181" xfId="0" applyNumberFormat="1" applyFont="1"/>
    <xf fontId="18" fillId="0" borderId="1" numFmtId="179" xfId="0" applyNumberFormat="1" applyFont="1" applyBorder="1"/>
    <xf fontId="18" fillId="0" borderId="0" numFmtId="175" xfId="5" applyNumberFormat="1" applyFont="1" applyAlignment="1" applyProtection="1">
      <alignment horizontal="center" vertical="center"/>
    </xf>
    <xf fontId="18" fillId="0" borderId="0" numFmtId="178" xfId="0" applyNumberFormat="1" applyFont="1"/>
    <xf fontId="18" fillId="0" borderId="1" numFmtId="0" xfId="0" applyFont="1" applyBorder="1"/>
    <xf fontId="6" fillId="0" borderId="0" numFmtId="175" xfId="0" applyNumberFormat="1" applyFont="1" applyAlignment="1">
      <alignment horizontal="center" vertical="center"/>
    </xf>
    <xf fontId="6" fillId="0" borderId="0" numFmtId="162" xfId="0" applyNumberFormat="1" applyFont="1" applyAlignment="1">
      <alignment horizontal="center" vertical="center"/>
    </xf>
    <xf fontId="6" fillId="0" borderId="0" numFmtId="174" xfId="0" applyNumberFormat="1" applyFont="1"/>
    <xf fontId="34" fillId="0" borderId="0" numFmtId="182" xfId="0" applyNumberFormat="1" applyFont="1"/>
    <xf fontId="34" fillId="0" borderId="0" numFmtId="183" xfId="0" applyNumberFormat="1" applyFont="1"/>
    <xf fontId="34" fillId="0" borderId="0" numFmtId="0" xfId="0" applyFont="1"/>
    <xf fontId="34" fillId="0" borderId="0" numFmtId="0" xfId="0" applyFont="1" applyAlignment="1">
      <alignment vertical="top"/>
    </xf>
    <xf fontId="35" fillId="0" borderId="0" numFmtId="0" xfId="0" applyFont="1"/>
    <xf fontId="35" fillId="0" borderId="0" numFmtId="183" xfId="0" applyNumberFormat="1" applyFont="1"/>
    <xf fontId="35" fillId="0" borderId="0" numFmtId="182" xfId="0" applyNumberFormat="1" applyFont="1"/>
    <xf fontId="35" fillId="0" borderId="0" numFmtId="0" xfId="0" applyFont="1" applyAlignment="1">
      <alignment vertical="top"/>
    </xf>
    <xf fontId="35" fillId="0" borderId="0" numFmtId="184" xfId="0" applyNumberFormat="1" applyFont="1"/>
    <xf fontId="0" fillId="8" borderId="0" numFmtId="0" xfId="0" applyFill="1"/>
    <xf fontId="0" fillId="9" borderId="0" numFmtId="0" xfId="0" applyFill="1"/>
    <xf fontId="36" fillId="0" borderId="0" numFmtId="0" xfId="0" applyFont="1"/>
    <xf fontId="1" fillId="0" borderId="0" numFmtId="0" xfId="0" applyFont="1" applyAlignment="1">
      <alignment horizontal="center"/>
    </xf>
    <xf fontId="0" fillId="8" borderId="1" numFmtId="0" xfId="0" applyFill="1" applyBorder="1"/>
    <xf fontId="14" fillId="10" borderId="1" numFmtId="0" xfId="0" applyFont="1" applyFill="1" applyBorder="1" applyAlignment="1">
      <alignment horizontal="center" vertical="center" wrapText="1"/>
    </xf>
    <xf fontId="0" fillId="10" borderId="1" numFmtId="0" xfId="0" applyFill="1" applyBorder="1" applyAlignment="1">
      <alignment horizontal="center" vertical="center" wrapText="1"/>
    </xf>
    <xf fontId="14" fillId="8" borderId="1" numFmtId="0" xfId="0" applyFont="1" applyFill="1" applyBorder="1" applyAlignment="1">
      <alignment horizontal="center" vertical="center" wrapText="1"/>
    </xf>
    <xf fontId="0" fillId="10" borderId="1" numFmtId="0" xfId="0" applyFill="1" applyBorder="1" applyAlignment="1">
      <alignment horizontal="center" vertical="top" wrapText="1"/>
    </xf>
    <xf fontId="14" fillId="8" borderId="1" numFmtId="0" xfId="0" applyFont="1" applyFill="1" applyBorder="1" applyAlignment="1">
      <alignment horizontal="center" vertical="top" wrapText="1"/>
    </xf>
    <xf fontId="0" fillId="10" borderId="1" numFmtId="49" xfId="0" applyNumberFormat="1" applyFill="1" applyBorder="1" applyAlignment="1">
      <alignment horizontal="center" vertical="center" wrapText="1"/>
    </xf>
    <xf fontId="14" fillId="8" borderId="1" numFmtId="0" xfId="0" applyFont="1" applyFill="1" applyBorder="1" applyAlignment="1">
      <alignment wrapText="1"/>
    </xf>
    <xf fontId="17" fillId="0" borderId="1" numFmtId="0" xfId="0" applyFont="1" applyBorder="1" applyAlignment="1">
      <alignment horizontal="center" vertical="top"/>
    </xf>
    <xf fontId="17" fillId="8" borderId="1" numFmtId="4" xfId="0" applyNumberFormat="1" applyFont="1" applyFill="1" applyBorder="1" applyAlignment="1">
      <alignment horizontal="left" vertical="top" wrapText="1"/>
    </xf>
    <xf fontId="14" fillId="10" borderId="1" numFmtId="170" xfId="0" applyNumberFormat="1" applyFont="1" applyFill="1" applyBorder="1"/>
    <xf fontId="1" fillId="10" borderId="1" numFmtId="170" xfId="0" applyNumberFormat="1" applyFont="1" applyFill="1" applyBorder="1"/>
    <xf fontId="0" fillId="10" borderId="1" numFmtId="175" xfId="0" applyNumberFormat="1" applyFill="1" applyBorder="1"/>
    <xf fontId="14" fillId="10" borderId="1" numFmtId="175" xfId="0" applyNumberFormat="1" applyFont="1" applyFill="1" applyBorder="1" applyAlignment="1">
      <alignment horizontal="center" vertical="center"/>
    </xf>
    <xf fontId="0" fillId="8" borderId="1" numFmtId="174" xfId="0" applyNumberFormat="1" applyFill="1" applyBorder="1"/>
    <xf fontId="14" fillId="8" borderId="1" numFmtId="175" xfId="0" applyNumberFormat="1" applyFont="1" applyFill="1" applyBorder="1"/>
    <xf fontId="1" fillId="10" borderId="1" numFmtId="175" xfId="0" applyNumberFormat="1" applyFont="1" applyFill="1" applyBorder="1"/>
    <xf fontId="14" fillId="8" borderId="1" numFmtId="175" xfId="0" applyNumberFormat="1" applyFont="1" applyFill="1" applyBorder="1" applyAlignment="1">
      <alignment horizontal="center" vertical="center"/>
    </xf>
    <xf fontId="14" fillId="8" borderId="1" numFmtId="4" xfId="0" applyNumberFormat="1" applyFont="1" applyFill="1" applyBorder="1" applyAlignment="1">
      <alignment horizontal="center" vertical="center"/>
    </xf>
    <xf fontId="17" fillId="0" borderId="1" numFmtId="0" xfId="0" applyFont="1" applyBorder="1"/>
    <xf fontId="19" fillId="8" borderId="1" numFmtId="4" xfId="0" applyNumberFormat="1" applyFont="1" applyFill="1" applyBorder="1" applyAlignment="1">
      <alignment horizontal="left" vertical="center" wrapText="1"/>
    </xf>
    <xf fontId="37" fillId="10" borderId="1" numFmtId="3" xfId="0" applyNumberFormat="1" applyFont="1" applyFill="1" applyBorder="1" applyAlignment="1">
      <alignment vertical="center" wrapText="1"/>
    </xf>
    <xf fontId="0" fillId="10" borderId="1" numFmtId="170" xfId="0" applyNumberFormat="1" applyFill="1" applyBorder="1"/>
    <xf fontId="0" fillId="8" borderId="1" numFmtId="175" xfId="0" applyNumberFormat="1" applyFill="1" applyBorder="1"/>
    <xf fontId="0" fillId="8" borderId="1" numFmtId="175" xfId="0" applyNumberFormat="1" applyFill="1" applyBorder="1" applyAlignment="1">
      <alignment horizontal="center" vertical="center"/>
    </xf>
    <xf fontId="0" fillId="0" borderId="0" numFmtId="3" xfId="0" applyNumberFormat="1" applyAlignment="1">
      <alignment horizontal="center"/>
    </xf>
    <xf fontId="0" fillId="0" borderId="0" numFmtId="175" xfId="0" applyNumberFormat="1" applyAlignment="1">
      <alignment horizontal="center"/>
    </xf>
    <xf fontId="38" fillId="8" borderId="0" numFmtId="175" xfId="0" applyNumberFormat="1" applyFont="1" applyFill="1" applyAlignment="1">
      <alignment horizontal="center"/>
    </xf>
    <xf fontId="38" fillId="0" borderId="0" numFmtId="175" xfId="0" applyNumberFormat="1" applyFont="1" applyAlignment="1">
      <alignment horizontal="center"/>
    </xf>
    <xf fontId="0" fillId="8" borderId="0" numFmtId="0" xfId="0" applyFill="1" applyAlignment="1">
      <alignment horizontal="center"/>
    </xf>
    <xf fontId="0" fillId="0" borderId="0" numFmtId="173" xfId="0" applyNumberFormat="1" applyAlignment="1">
      <alignment horizontal="center"/>
    </xf>
    <xf fontId="0" fillId="0" borderId="0" numFmtId="4" xfId="0" applyNumberFormat="1" applyAlignment="1">
      <alignment horizontal="center"/>
    </xf>
    <xf fontId="0" fillId="0" borderId="0" numFmtId="0" xfId="0" applyAlignment="1">
      <alignment wrapText="1"/>
    </xf>
    <xf fontId="0" fillId="0" borderId="0" numFmtId="4" xfId="0" applyNumberFormat="1"/>
    <xf fontId="0" fillId="0" borderId="7" numFmtId="0" xfId="0" applyBorder="1" applyAlignment="1">
      <alignment horizontal="center"/>
    </xf>
    <xf fontId="0" fillId="8" borderId="1" numFmtId="0" xfId="0" applyFill="1" applyBorder="1" applyAlignment="1">
      <alignment horizontal="center" vertical="center" wrapText="1"/>
    </xf>
    <xf fontId="0" fillId="8" borderId="1" numFmtId="0" xfId="0" applyFill="1" applyBorder="1" applyAlignment="1">
      <alignment horizontal="center" vertical="top" wrapText="1"/>
    </xf>
    <xf fontId="0" fillId="8" borderId="1" numFmtId="0" xfId="0" applyFill="1" applyBorder="1" applyAlignment="1">
      <alignment horizontal="center" wrapText="1"/>
    </xf>
    <xf fontId="6" fillId="10" borderId="1" numFmtId="3" xfId="2" applyNumberFormat="1" applyFont="1" applyFill="1" applyBorder="1" applyAlignment="1">
      <alignment horizontal="right"/>
    </xf>
    <xf fontId="0" fillId="8" borderId="1" numFmtId="3" xfId="0" applyNumberFormat="1" applyFill="1" applyBorder="1"/>
    <xf fontId="1" fillId="10" borderId="1" numFmtId="2" xfId="0" applyNumberFormat="1" applyFont="1" applyFill="1" applyBorder="1"/>
    <xf fontId="0" fillId="10" borderId="1" numFmtId="168" xfId="0" applyNumberFormat="1" applyFill="1" applyBorder="1"/>
    <xf fontId="0" fillId="8" borderId="1" numFmtId="179" xfId="0" applyNumberFormat="1" applyFill="1" applyBorder="1"/>
    <xf fontId="0" fillId="8" borderId="1" numFmtId="185" xfId="0" applyNumberFormat="1" applyFill="1" applyBorder="1"/>
    <xf fontId="0" fillId="8" borderId="1" numFmtId="4" xfId="0" applyNumberFormat="1" applyFill="1" applyBorder="1" applyAlignment="1">
      <alignment horizontal="center" vertical="center"/>
    </xf>
    <xf fontId="0" fillId="8" borderId="1" numFmtId="2" xfId="0" applyNumberFormat="1" applyFill="1" applyBorder="1" applyAlignment="1">
      <alignment horizontal="center"/>
    </xf>
    <xf fontId="0" fillId="8" borderId="1" numFmtId="2" xfId="0" applyNumberFormat="1" applyFill="1" applyBorder="1"/>
    <xf fontId="0" fillId="0" borderId="0" numFmtId="173" xfId="0" applyNumberFormat="1"/>
    <xf fontId="1" fillId="10" borderId="1" numFmtId="0" xfId="0" applyFont="1" applyFill="1" applyBorder="1"/>
    <xf fontId="1" fillId="10" borderId="1" numFmtId="168" xfId="0" applyNumberFormat="1" applyFont="1" applyFill="1" applyBorder="1"/>
    <xf fontId="0" fillId="11" borderId="1" numFmtId="2" xfId="0" applyNumberFormat="1" applyFill="1" applyBorder="1"/>
    <xf fontId="19" fillId="8" borderId="1" numFmtId="3" xfId="0" applyNumberFormat="1" applyFont="1" applyFill="1" applyBorder="1" applyAlignment="1">
      <alignment horizontal="right" vertical="center" wrapText="1"/>
    </xf>
    <xf fontId="14" fillId="10" borderId="1" numFmtId="0" xfId="0" applyFont="1" applyFill="1" applyBorder="1"/>
    <xf fontId="14" fillId="10" borderId="1" numFmtId="168" xfId="0" applyNumberFormat="1" applyFont="1" applyFill="1" applyBorder="1"/>
    <xf fontId="0" fillId="8" borderId="1" numFmtId="0" xfId="0" applyFill="1" applyBorder="1" applyAlignment="1">
      <alignment horizontal="center"/>
    </xf>
    <xf fontId="0" fillId="0" borderId="0" numFmtId="4" xfId="0" applyNumberFormat="1" applyAlignment="1">
      <alignment horizontal="center" vertical="center"/>
    </xf>
    <xf fontId="0" fillId="0" borderId="0" numFmtId="168" xfId="0" applyNumberFormat="1"/>
    <xf fontId="27" fillId="0" borderId="7" numFmtId="0" xfId="0" applyFont="1" applyBorder="1" applyAlignment="1">
      <alignment horizontal="left" vertical="top" wrapText="1"/>
    </xf>
    <xf fontId="0" fillId="8" borderId="0" numFmtId="175" xfId="0" applyNumberFormat="1" applyFill="1"/>
    <xf fontId="10" fillId="0" borderId="0" numFmtId="49" xfId="0" applyNumberFormat="1" applyFont="1" applyAlignment="1">
      <alignment vertical="center" wrapText="1"/>
    </xf>
    <xf fontId="39" fillId="0" borderId="0" numFmtId="0" xfId="0" applyFont="1" applyAlignment="1">
      <alignment vertical="center"/>
    </xf>
    <xf fontId="0" fillId="7" borderId="0" numFmtId="0" xfId="0" applyFill="1"/>
    <xf fontId="17" fillId="0" borderId="1" numFmtId="4" xfId="0" applyNumberFormat="1" applyFont="1" applyBorder="1" applyAlignment="1">
      <alignment horizontal="left" vertical="center" wrapText="1"/>
    </xf>
    <xf fontId="0" fillId="8" borderId="1" numFmtId="175" xfId="0" applyNumberFormat="1" applyFill="1" applyBorder="1" applyAlignment="1">
      <alignment vertical="center"/>
    </xf>
    <xf fontId="0" fillId="8" borderId="1" numFmtId="0" xfId="0" applyFill="1" applyBorder="1" applyAlignment="1">
      <alignment vertical="center"/>
    </xf>
    <xf fontId="39" fillId="8" borderId="1" numFmtId="165" xfId="0" applyNumberFormat="1" applyFont="1" applyFill="1" applyBorder="1" applyAlignment="1">
      <alignment vertical="center"/>
    </xf>
    <xf fontId="14" fillId="10" borderId="1" numFmtId="165" xfId="0" applyNumberFormat="1" applyFont="1" applyFill="1" applyBorder="1" applyAlignment="1">
      <alignment vertical="center"/>
    </xf>
    <xf fontId="40" fillId="8" borderId="1" numFmtId="0" xfId="0" applyFont="1" applyFill="1" applyBorder="1" applyAlignment="1">
      <alignment vertical="center"/>
    </xf>
    <xf fontId="0" fillId="8" borderId="5" numFmtId="0" xfId="0" applyFill="1" applyBorder="1" applyAlignment="1">
      <alignment vertical="center"/>
    </xf>
    <xf fontId="14" fillId="10" borderId="1" numFmtId="179" xfId="0" applyNumberFormat="1" applyFont="1" applyFill="1" applyBorder="1" applyAlignment="1">
      <alignment vertical="center"/>
    </xf>
    <xf fontId="0" fillId="0" borderId="0" numFmtId="182" xfId="0" applyNumberFormat="1"/>
    <xf fontId="0" fillId="8" borderId="1" numFmtId="179" xfId="0" applyNumberFormat="1" applyFill="1" applyBorder="1" applyAlignment="1">
      <alignment vertical="center"/>
    </xf>
    <xf fontId="40" fillId="8" borderId="1" numFmtId="175" xfId="0" applyNumberFormat="1" applyFont="1" applyFill="1" applyBorder="1" applyAlignment="1">
      <alignment vertical="center"/>
    </xf>
    <xf fontId="27" fillId="0" borderId="1" numFmtId="0" xfId="0" applyFont="1" applyBorder="1" applyAlignment="1">
      <alignment horizontal="center" vertical="center" wrapText="1"/>
    </xf>
    <xf fontId="17" fillId="0" borderId="1" numFmtId="4" xfId="0" applyNumberFormat="1" applyFont="1" applyBorder="1" applyAlignment="1">
      <alignment horizontal="left" vertical="top" wrapText="1"/>
    </xf>
    <xf fontId="14" fillId="10" borderId="1" numFmtId="165" xfId="0" applyNumberFormat="1" applyFont="1" applyFill="1" applyBorder="1"/>
    <xf fontId="40" fillId="8" borderId="1" numFmtId="175" xfId="0" applyNumberFormat="1" applyFont="1" applyFill="1" applyBorder="1"/>
    <xf fontId="0" fillId="8" borderId="5" numFmtId="0" xfId="0" applyFill="1" applyBorder="1"/>
    <xf fontId="14" fillId="10" borderId="1" numFmtId="179" xfId="0" applyNumberFormat="1" applyFont="1" applyFill="1" applyBorder="1"/>
    <xf fontId="8" fillId="0" borderId="1" numFmtId="4" xfId="0" applyNumberFormat="1" applyFont="1" applyBorder="1" applyAlignment="1">
      <alignment horizontal="left" vertical="top" wrapText="1"/>
    </xf>
    <xf fontId="6" fillId="0" borderId="0" numFmtId="186" xfId="0" applyNumberFormat="1" applyFont="1" applyAlignment="1">
      <alignment vertical="center"/>
    </xf>
    <xf fontId="8" fillId="0" borderId="1" numFmtId="4" xfId="0" applyNumberFormat="1" applyFont="1" applyBorder="1" applyAlignment="1">
      <alignment horizontal="left" vertical="center" wrapText="1"/>
    </xf>
    <xf fontId="27" fillId="0" borderId="0" numFmtId="0" xfId="0" applyFont="1" applyAlignment="1">
      <alignment horizontal="justify" vertical="center"/>
    </xf>
    <xf fontId="0" fillId="0" borderId="0" numFmtId="174" xfId="0" applyNumberFormat="1"/>
    <xf fontId="19" fillId="0" borderId="1" numFmtId="4" xfId="0" applyNumberFormat="1" applyFont="1" applyBorder="1" applyAlignment="1">
      <alignment horizontal="left" vertical="center" wrapText="1"/>
    </xf>
    <xf fontId="0" fillId="8" borderId="1" numFmtId="165" xfId="0" applyNumberFormat="1" applyFill="1" applyBorder="1"/>
    <xf fontId="40" fillId="8" borderId="1" numFmtId="0" xfId="0" applyFont="1" applyFill="1" applyBorder="1"/>
    <xf fontId="17" fillId="0" borderId="0" numFmtId="4" xfId="0" applyNumberFormat="1" applyFont="1" applyAlignment="1">
      <alignment horizontal="center" vertical="top" wrapText="1"/>
    </xf>
    <xf fontId="0" fillId="0" borderId="0" numFmtId="0" xfId="0" applyAlignment="1">
      <alignment vertical="center"/>
    </xf>
    <xf fontId="0" fillId="0" borderId="0" numFmtId="174" xfId="0" applyNumberFormat="1" applyAlignment="1">
      <alignment vertical="center"/>
    </xf>
    <xf fontId="0" fillId="8" borderId="0" numFmtId="174" xfId="0" applyNumberFormat="1" applyFill="1"/>
    <xf fontId="0" fillId="0" borderId="0" numFmtId="165" xfId="0" applyNumberFormat="1"/>
    <xf fontId="0" fillId="0" borderId="0" numFmtId="179" xfId="0" applyNumberFormat="1"/>
    <xf fontId="40" fillId="0" borderId="0" numFmtId="0" xfId="0" applyFont="1"/>
    <xf fontId="0" fillId="0" borderId="0" numFmtId="186" xfId="0" applyNumberFormat="1"/>
    <xf fontId="41" fillId="0" borderId="0" numFmtId="0" xfId="0" applyFont="1" applyAlignment="1">
      <alignment horizontal="center" vertical="center"/>
    </xf>
    <xf fontId="41" fillId="0" borderId="0" numFmtId="182" xfId="0" applyNumberFormat="1" applyFont="1" applyAlignment="1">
      <alignment horizontal="center" wrapText="1"/>
    </xf>
    <xf fontId="42" fillId="0" borderId="0" numFmtId="4" xfId="0" applyNumberFormat="1" applyFont="1" applyAlignment="1">
      <alignment horizontal="left" vertical="top" wrapText="1"/>
    </xf>
    <xf fontId="35" fillId="0" borderId="0" numFmtId="4" xfId="0" applyNumberFormat="1" applyFont="1"/>
    <xf fontId="35" fillId="0" borderId="0" numFmtId="165" xfId="0" applyNumberFormat="1" applyFont="1"/>
    <xf fontId="0" fillId="0" borderId="0" numFmtId="182" xfId="0" applyNumberFormat="1" applyAlignment="1">
      <alignment horizontal="center"/>
    </xf>
  </cellXfs>
  <cellStyles count="7">
    <cellStyle name="Normal" xfId="1"/>
    <cellStyle name="Percent 2" xfId="2"/>
    <cellStyle name="Обычный" xfId="0" builtinId="0"/>
    <cellStyle name="Обычный 2" xfId="3"/>
    <cellStyle name="Обычный 3" xfId="4"/>
    <cellStyle name="Финансовый [0]" xfId="5" builtinId="6"/>
    <cellStyle name="Финансовый 2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6" Type="http://schemas.openxmlformats.org/officeDocument/2006/relationships/styles" Target="styles.xml"/><Relationship  Id="rId5" Type="http://schemas.openxmlformats.org/officeDocument/2006/relationships/sharedStrings" Target="sharedStrings.xml"/><Relationship  Id="rId4" Type="http://schemas.openxmlformats.org/officeDocument/2006/relationships/theme" Target="theme/theme1.xml"/><Relationship  Id="rId3" Type="http://schemas.openxmlformats.org/officeDocument/2006/relationships/worksheet" Target="worksheets/sheet3.xml"/><Relationship  Id="rId2" Type="http://schemas.openxmlformats.org/officeDocument/2006/relationships/worksheet" Target="worksheets/sheet2.xml"/><Relationship  Id="rId1" Type="http://schemas.openxmlformats.org/officeDocument/2006/relationships/worksheet" Target="worksheets/sheet1.xml"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пј­пјі г‚ґг‚·гѓѓг‚Ї"/>
        <a:font script="Hang" typeface="л§‘мќЂ кі л”•"/>
        <a:font script="Hans" typeface="е®‹дЅ“"/>
        <a:font script="Hant" typeface="ж–°зґ°жЋй«”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пј­пјі жЋжњќ"/>
        <a:font script="Hang" typeface="л§‘мќЂ кі л”•"/>
        <a:font script="Hans" typeface="е®‹дЅ“"/>
        <a:font script="Hant" typeface="ж–°зґ°жЋй«”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</a:spPr>
      <a:bodyPr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</a:spPr>
      <a:bodyPr/>
      <a:lstStyle/>
    </a:ln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 published="0">
    <tabColor indexed="2"/>
    <outlinePr applyStyles="0" summaryBelow="1" summaryRight="1" showOutlineSymbols="1"/>
    <pageSetUpPr autoPageBreaks="1" fitToPage="0"/>
  </sheetPr>
  <sheetViews>
    <sheetView view="pageBreakPreview" zoomScale="100" workbookViewId="0">
      <selection activeCell="B22" activeCellId="0" sqref="B22"/>
    </sheetView>
  </sheetViews>
  <sheetFormatPr defaultColWidth="9.140625" defaultRowHeight="15" customHeight="1"/>
  <cols>
    <col customWidth="1" min="1" max="1" width="3.85546875"/>
    <col customWidth="1" min="2" max="2" width="19.28515625"/>
    <col customWidth="1" min="3" max="3" width="13.28515625"/>
    <col customWidth="1" min="4" max="4" width="12.5703125"/>
    <col customWidth="1" min="5" max="5" width="14.28515625"/>
    <col customWidth="1" min="6" max="6" width="11.140625"/>
    <col customWidth="1" min="7" max="7" width="12"/>
    <col customWidth="1" min="8" max="9" width="11.28515625"/>
    <col customWidth="1" min="10" max="10" width="12.42578125"/>
    <col customWidth="1" min="11" max="11" width="11.28515625"/>
    <col customWidth="1" min="12" max="13" width="12.140625"/>
    <col customWidth="1" min="14" max="14" width="11.28515625"/>
    <col customWidth="1" min="15" max="15" width="12.28515625"/>
    <col customWidth="1" min="16" max="17" width="11.28515625"/>
    <col customWidth="1" min="18" max="18" width="10.85546875"/>
    <col customWidth="1" min="19" max="19" width="11"/>
    <col customWidth="1" min="21" max="21" width="11"/>
  </cols>
  <sheetData>
    <row r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</row>
    <row r="2" ht="43.5" customHeight="1">
      <c r="A2" s="2" t="s">
        <v>0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</row>
    <row r="3" ht="18.75" customHeight="1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1"/>
    </row>
    <row r="4" ht="17.25">
      <c r="A4" s="3"/>
      <c r="B4" s="3"/>
      <c r="C4" s="3"/>
      <c r="D4" s="3"/>
      <c r="E4" s="4"/>
      <c r="F4" s="3"/>
      <c r="G4" s="3"/>
      <c r="H4" s="3"/>
      <c r="I4" s="5" t="s">
        <v>1</v>
      </c>
      <c r="J4" s="3"/>
      <c r="K4" s="3"/>
      <c r="L4" s="3"/>
      <c r="M4" s="3"/>
      <c r="N4" s="3"/>
      <c r="O4" s="3"/>
      <c r="P4" s="3"/>
      <c r="Q4" s="3"/>
      <c r="R4" s="3"/>
      <c r="S4" s="1"/>
    </row>
    <row r="5" ht="83.25" customHeight="1">
      <c r="A5" s="6" t="s">
        <v>2</v>
      </c>
      <c r="B5" s="7" t="s">
        <v>3</v>
      </c>
      <c r="C5" s="7" t="s">
        <v>4</v>
      </c>
      <c r="D5" s="7" t="s">
        <v>5</v>
      </c>
      <c r="E5" s="7" t="s">
        <v>6</v>
      </c>
      <c r="F5" s="7" t="s">
        <v>7</v>
      </c>
      <c r="G5" s="7" t="s">
        <v>8</v>
      </c>
      <c r="H5" s="7" t="s">
        <v>9</v>
      </c>
      <c r="I5" s="8" t="s">
        <v>10</v>
      </c>
      <c r="J5" s="9" t="s">
        <v>11</v>
      </c>
      <c r="K5" s="7" t="s">
        <v>12</v>
      </c>
      <c r="L5" s="7" t="s">
        <v>13</v>
      </c>
      <c r="M5" s="7" t="s">
        <v>14</v>
      </c>
      <c r="N5" s="10" t="s">
        <v>15</v>
      </c>
      <c r="O5" s="11" t="s">
        <v>16</v>
      </c>
      <c r="P5" s="12" t="s">
        <v>17</v>
      </c>
      <c r="Q5" s="12" t="s">
        <v>18</v>
      </c>
      <c r="R5" s="13"/>
      <c r="S5" s="14"/>
    </row>
    <row r="6">
      <c r="A6" s="15">
        <v>1</v>
      </c>
      <c r="B6" s="16">
        <v>2</v>
      </c>
      <c r="C6" s="17">
        <v>3</v>
      </c>
      <c r="D6" s="17">
        <v>4</v>
      </c>
      <c r="E6" s="17">
        <v>5</v>
      </c>
      <c r="F6" s="17">
        <v>6</v>
      </c>
      <c r="G6" s="17">
        <v>7</v>
      </c>
      <c r="H6" s="17">
        <v>8</v>
      </c>
      <c r="I6" s="18">
        <v>9</v>
      </c>
      <c r="J6" s="17">
        <v>10</v>
      </c>
      <c r="K6" s="17">
        <v>11</v>
      </c>
      <c r="L6" s="19">
        <v>12</v>
      </c>
      <c r="M6" s="19"/>
      <c r="N6" s="20">
        <v>13</v>
      </c>
      <c r="O6" s="21">
        <v>14</v>
      </c>
      <c r="P6" s="22">
        <v>15</v>
      </c>
      <c r="Q6" s="12">
        <v>16</v>
      </c>
      <c r="R6" s="15">
        <v>17</v>
      </c>
      <c r="S6" s="15">
        <v>18</v>
      </c>
      <c r="T6" s="23"/>
    </row>
    <row r="7">
      <c r="A7" s="14" t="s">
        <v>19</v>
      </c>
      <c r="B7" s="24" t="s">
        <v>20</v>
      </c>
      <c r="C7" s="25">
        <v>37496.900000000001</v>
      </c>
      <c r="D7" s="26"/>
      <c r="E7" s="26">
        <v>999.89999999999998</v>
      </c>
      <c r="F7" s="26">
        <v>18.899999999999999</v>
      </c>
      <c r="G7" s="26"/>
      <c r="H7" s="26">
        <f>'Расчет Дотации'!D15</f>
        <v>210882.29999999999</v>
      </c>
      <c r="I7" s="27">
        <f>C7+E7+F7+H7+G7</f>
        <v>249398</v>
      </c>
      <c r="J7" s="26">
        <f>10593.7-239.699999999999</f>
        <v>10354.000000000002</v>
      </c>
      <c r="K7" s="26">
        <f t="shared" ref="K7:K13" si="0">F7</f>
        <v>18.899999999999999</v>
      </c>
      <c r="L7" s="28"/>
      <c r="M7" s="28"/>
      <c r="N7" s="29">
        <f t="shared" ref="N7:N9" si="1">J7+K7+L7</f>
        <v>10372.900000000001</v>
      </c>
      <c r="O7" s="30">
        <f>I7-N7</f>
        <v>239025.10000000001</v>
      </c>
      <c r="P7" s="31">
        <f t="shared" ref="P7:P14" si="2">N7+O7</f>
        <v>249398</v>
      </c>
      <c r="Q7" s="32">
        <f t="shared" ref="Q7:Q14" si="3">I7-P7</f>
        <v>0</v>
      </c>
      <c r="R7" s="33"/>
      <c r="S7" s="34">
        <f t="shared" ref="S7:S14" si="4">J7+L7+O7</f>
        <v>249379.10000000001</v>
      </c>
      <c r="T7" s="35">
        <f t="shared" ref="T7:T14" si="5">P7-I7</f>
        <v>0</v>
      </c>
      <c r="V7">
        <v>10593.700000000001</v>
      </c>
    </row>
    <row r="8">
      <c r="A8" s="14" t="s">
        <v>21</v>
      </c>
      <c r="B8" s="24" t="s">
        <v>22</v>
      </c>
      <c r="C8" s="25">
        <v>8102.6000000000004</v>
      </c>
      <c r="D8" s="26">
        <v>0</v>
      </c>
      <c r="E8" s="26">
        <v>0</v>
      </c>
      <c r="F8" s="26">
        <v>460.80000000000001</v>
      </c>
      <c r="G8" s="26"/>
      <c r="H8" s="26">
        <v>15371.700000000001</v>
      </c>
      <c r="I8" s="27">
        <f t="shared" ref="I8:I14" si="6">C8+E8+F8+H8+G8+D8</f>
        <v>23935.099999999999</v>
      </c>
      <c r="J8" s="36">
        <f>23474.2999999999-O8</f>
        <v>23444.3999999999</v>
      </c>
      <c r="K8" s="26">
        <f t="shared" si="0"/>
        <v>460.80000000000001</v>
      </c>
      <c r="L8" s="28"/>
      <c r="M8" s="28"/>
      <c r="N8" s="29">
        <f t="shared" si="1"/>
        <v>23905.199999999899</v>
      </c>
      <c r="O8" s="30">
        <v>29.899999999999999</v>
      </c>
      <c r="P8" s="31">
        <f t="shared" si="2"/>
        <v>23935.0999999999</v>
      </c>
      <c r="Q8" s="32">
        <f t="shared" si="3"/>
        <v>9.822542779147625e-011</v>
      </c>
      <c r="R8" s="33"/>
      <c r="S8" s="34">
        <f t="shared" si="4"/>
        <v>23474.299999999901</v>
      </c>
      <c r="T8" s="35">
        <f t="shared" si="5"/>
        <v>-9.822542779147625e-011</v>
      </c>
      <c r="V8">
        <v>23562.299999999999</v>
      </c>
    </row>
    <row r="9">
      <c r="A9" s="14" t="s">
        <v>23</v>
      </c>
      <c r="B9" s="24" t="s">
        <v>24</v>
      </c>
      <c r="C9" s="25">
        <v>28876.799999999999</v>
      </c>
      <c r="D9" s="26">
        <v>8739.1000000000004</v>
      </c>
      <c r="E9" s="26">
        <v>315</v>
      </c>
      <c r="F9" s="26">
        <v>246.40000000000001</v>
      </c>
      <c r="G9" s="26"/>
      <c r="H9" s="26">
        <v>4749.5</v>
      </c>
      <c r="I9" s="27">
        <f t="shared" si="6"/>
        <v>42926.799999999996</v>
      </c>
      <c r="J9" s="36">
        <f>42680.4-O9</f>
        <v>42676.5</v>
      </c>
      <c r="K9" s="26">
        <f t="shared" si="0"/>
        <v>246.40000000000001</v>
      </c>
      <c r="L9" s="28"/>
      <c r="M9" s="28"/>
      <c r="N9" s="29">
        <f t="shared" si="1"/>
        <v>42922.900000000001</v>
      </c>
      <c r="O9" s="30">
        <v>3.8999999999999999</v>
      </c>
      <c r="P9" s="31">
        <f t="shared" si="2"/>
        <v>42926.800000000003</v>
      </c>
      <c r="Q9" s="32">
        <f t="shared" si="3"/>
        <v>-7.2759576141834259e-012</v>
      </c>
      <c r="R9" s="33"/>
      <c r="S9" s="34">
        <f t="shared" si="4"/>
        <v>42680.400000000001</v>
      </c>
      <c r="T9" s="35">
        <f t="shared" si="5"/>
        <v>7.2759576141834259e-012</v>
      </c>
      <c r="V9">
        <v>42654.300000000003</v>
      </c>
      <c r="W9" s="37">
        <f>I9-V9</f>
        <v>272.49999999999272</v>
      </c>
    </row>
    <row r="10" ht="13.5" customHeight="1">
      <c r="A10" s="14" t="s">
        <v>25</v>
      </c>
      <c r="B10" s="24" t="s">
        <v>26</v>
      </c>
      <c r="C10" s="25">
        <v>3829.5999999999999</v>
      </c>
      <c r="D10" s="26">
        <f>4799.69999999999-1000</f>
        <v>3799.6999999999898</v>
      </c>
      <c r="E10" s="26">
        <v>0</v>
      </c>
      <c r="F10" s="26">
        <v>453.89999999999998</v>
      </c>
      <c r="G10" s="26"/>
      <c r="H10" s="26">
        <v>14687.6</v>
      </c>
      <c r="I10" s="27">
        <f t="shared" si="6"/>
        <v>22770.799999999988</v>
      </c>
      <c r="J10" s="36">
        <f>22316.9-L10-O10</f>
        <v>22288.800000000003</v>
      </c>
      <c r="K10" s="26">
        <f t="shared" si="0"/>
        <v>453.89999999999998</v>
      </c>
      <c r="L10" s="28"/>
      <c r="M10" s="28"/>
      <c r="N10" s="29">
        <f>J10+K10+L10</f>
        <v>22742.700000000004</v>
      </c>
      <c r="O10" s="30">
        <v>28.100000000000001</v>
      </c>
      <c r="P10" s="31">
        <f t="shared" si="2"/>
        <v>22770.800000000003</v>
      </c>
      <c r="Q10" s="32">
        <f t="shared" si="3"/>
        <v>-1.4551915228366852e-011</v>
      </c>
      <c r="R10" s="33"/>
      <c r="S10" s="34">
        <f t="shared" si="4"/>
        <v>22316.900000000001</v>
      </c>
      <c r="T10" s="35">
        <f t="shared" si="5"/>
        <v>1.4551915228366852e-011</v>
      </c>
      <c r="V10">
        <v>22552.700000000001</v>
      </c>
    </row>
    <row r="11">
      <c r="A11" s="14" t="s">
        <v>27</v>
      </c>
      <c r="B11" s="24" t="s">
        <v>28</v>
      </c>
      <c r="C11" s="25">
        <v>27960.099999999999</v>
      </c>
      <c r="D11" s="26">
        <v>1926.5</v>
      </c>
      <c r="E11" s="26">
        <v>200</v>
      </c>
      <c r="F11" s="26">
        <v>249.19999999999999</v>
      </c>
      <c r="G11" s="26">
        <v>100</v>
      </c>
      <c r="H11" s="26">
        <f>'Расчет Дотации'!D19</f>
        <v>7694.6999999999998</v>
      </c>
      <c r="I11" s="27">
        <f t="shared" si="6"/>
        <v>38130.5</v>
      </c>
      <c r="J11" s="36">
        <f>34841.6999999999-L11-O11</f>
        <v>34836.299999999901</v>
      </c>
      <c r="K11" s="26">
        <f t="shared" si="0"/>
        <v>249.19999999999999</v>
      </c>
      <c r="L11" s="38">
        <v>1.1000000000000001</v>
      </c>
      <c r="M11" s="39">
        <v>100</v>
      </c>
      <c r="N11" s="29">
        <f>J11+K11+L11+M11</f>
        <v>35186.599999999897</v>
      </c>
      <c r="O11" s="30">
        <v>4.2999999999999998</v>
      </c>
      <c r="P11" s="31">
        <f t="shared" si="2"/>
        <v>35190.8999999999</v>
      </c>
      <c r="Q11" s="32">
        <f t="shared" si="3"/>
        <v>2939.6000000001004</v>
      </c>
      <c r="R11" s="33"/>
      <c r="S11" s="34">
        <f t="shared" si="4"/>
        <v>34841.699999999903</v>
      </c>
      <c r="T11" s="35">
        <f t="shared" si="5"/>
        <v>-2939.6000000001004</v>
      </c>
      <c r="V11">
        <v>34817.099999999999</v>
      </c>
    </row>
    <row r="12">
      <c r="A12" s="14" t="s">
        <v>29</v>
      </c>
      <c r="B12" s="24" t="s">
        <v>30</v>
      </c>
      <c r="C12" s="25">
        <v>8714</v>
      </c>
      <c r="D12" s="26">
        <v>119</v>
      </c>
      <c r="E12" s="26">
        <v>0</v>
      </c>
      <c r="F12" s="26">
        <v>467</v>
      </c>
      <c r="G12" s="26"/>
      <c r="H12" s="26">
        <f>'Расчет Дотации'!D20</f>
        <v>21540.400000000001</v>
      </c>
      <c r="I12" s="27">
        <f t="shared" si="6"/>
        <v>30840.400000000001</v>
      </c>
      <c r="J12" s="36">
        <f>23937.2-O12-L12</f>
        <v>23910.5</v>
      </c>
      <c r="K12" s="26">
        <f t="shared" si="0"/>
        <v>467</v>
      </c>
      <c r="L12" s="28"/>
      <c r="M12" s="28"/>
      <c r="N12" s="29">
        <f t="shared" ref="N12:N13" si="7">J12+K12+L12</f>
        <v>24377.5</v>
      </c>
      <c r="O12" s="30">
        <v>26.699999999999999</v>
      </c>
      <c r="P12" s="31">
        <f t="shared" si="2"/>
        <v>24404.200000000001</v>
      </c>
      <c r="Q12" s="40">
        <f t="shared" si="3"/>
        <v>6436.2000000000007</v>
      </c>
      <c r="R12" s="33"/>
      <c r="S12" s="34">
        <f t="shared" si="4"/>
        <v>23937.200000000001</v>
      </c>
      <c r="T12" s="35">
        <f t="shared" si="5"/>
        <v>-6436.2000000000007</v>
      </c>
      <c r="V12">
        <v>23891.700000000001</v>
      </c>
    </row>
    <row r="13">
      <c r="A13" s="14" t="s">
        <v>31</v>
      </c>
      <c r="B13" s="24" t="s">
        <v>32</v>
      </c>
      <c r="C13" s="25">
        <v>2927.8000000000002</v>
      </c>
      <c r="D13" s="26">
        <v>1194</v>
      </c>
      <c r="E13" s="26">
        <v>0</v>
      </c>
      <c r="F13" s="26">
        <v>462.89999999999998</v>
      </c>
      <c r="G13" s="26"/>
      <c r="H13" s="26">
        <f>'Расчет Дотации'!D21</f>
        <v>25113.900000000001</v>
      </c>
      <c r="I13" s="27">
        <f t="shared" si="6"/>
        <v>29698.600000000002</v>
      </c>
      <c r="J13" s="26">
        <f>20754.5999999999-L13-O13</f>
        <v>20731.8999999999</v>
      </c>
      <c r="K13" s="26">
        <f t="shared" si="0"/>
        <v>462.89999999999998</v>
      </c>
      <c r="L13" s="28"/>
      <c r="M13" s="28"/>
      <c r="N13" s="29">
        <f t="shared" si="7"/>
        <v>21194.799999999901</v>
      </c>
      <c r="O13" s="30">
        <v>22.699999999999999</v>
      </c>
      <c r="P13" s="31">
        <f t="shared" si="2"/>
        <v>21217.499999999902</v>
      </c>
      <c r="Q13" s="40">
        <f t="shared" si="3"/>
        <v>8481.1000000001004</v>
      </c>
      <c r="R13" s="33"/>
      <c r="S13" s="34">
        <f t="shared" si="4"/>
        <v>20754.5999999999</v>
      </c>
      <c r="T13" s="35">
        <f t="shared" si="5"/>
        <v>-8481.1000000001004</v>
      </c>
      <c r="V13">
        <v>20684.900000000001</v>
      </c>
    </row>
    <row r="14" s="41" customFormat="1">
      <c r="A14" s="42"/>
      <c r="B14" s="43" t="s">
        <v>33</v>
      </c>
      <c r="C14" s="44">
        <f>C7+C8+C9+C10+C11+C12+C13</f>
        <v>117907.8</v>
      </c>
      <c r="D14" s="44">
        <f>D7+D8+D9+D10+D11+D12+D13</f>
        <v>15778.29999999999</v>
      </c>
      <c r="E14" s="45">
        <f>E7+E8+E9+E10+E11+E12+E13</f>
        <v>1514.9000000000001</v>
      </c>
      <c r="F14" s="45">
        <f>F7+F8+F9+F10+F11+F12+F13</f>
        <v>2359.0999999999999</v>
      </c>
      <c r="G14" s="45">
        <f>G7+G8+G9+G10+G11+G12+G13</f>
        <v>100</v>
      </c>
      <c r="H14" s="45">
        <f>SUM(H7:H13)</f>
        <v>300040.10000000003</v>
      </c>
      <c r="I14" s="27">
        <f t="shared" si="6"/>
        <v>437700.20000000001</v>
      </c>
      <c r="J14" s="45">
        <f>J7+J8+J9+J10+J11+J12+J13</f>
        <v>178242.39999999973</v>
      </c>
      <c r="K14" s="45">
        <f>K7+K8+K9+K10+K11+K12+K13</f>
        <v>2359.0999999999999</v>
      </c>
      <c r="L14" s="45">
        <f>L7+L8+L9+L10+L11+L12+L13</f>
        <v>1.1000000000000001</v>
      </c>
      <c r="M14" s="45">
        <f>M7+M8+M9+M10+M11+M12+M13</f>
        <v>100</v>
      </c>
      <c r="N14" s="29">
        <f>J14+K14+L14+M14</f>
        <v>180702.59999999974</v>
      </c>
      <c r="O14" s="30">
        <f>SUM(O7:O13)</f>
        <v>239140.70000000001</v>
      </c>
      <c r="P14" s="31">
        <f t="shared" si="2"/>
        <v>419843.29999999976</v>
      </c>
      <c r="Q14" s="46">
        <f t="shared" si="3"/>
        <v>17856.900000000256</v>
      </c>
      <c r="R14" s="33"/>
      <c r="S14" s="34">
        <f t="shared" si="4"/>
        <v>417384.19999999972</v>
      </c>
      <c r="T14" s="35">
        <f t="shared" si="5"/>
        <v>-17856.900000000256</v>
      </c>
    </row>
    <row r="15">
      <c r="A15" s="47"/>
      <c r="B15" s="48"/>
      <c r="C15" s="49"/>
      <c r="D15" s="49">
        <f>D14+C14</f>
        <v>133686.10000000001</v>
      </c>
      <c r="E15" s="49">
        <f>D15+E14</f>
        <v>135201</v>
      </c>
      <c r="F15" s="49"/>
      <c r="G15" s="49"/>
      <c r="H15" s="49"/>
      <c r="I15" s="50"/>
      <c r="J15" s="51"/>
      <c r="K15" s="51"/>
      <c r="L15" s="52"/>
      <c r="M15" s="52"/>
      <c r="N15" s="52"/>
      <c r="O15" s="53"/>
      <c r="P15" s="54">
        <f>Q14-C14-E14</f>
        <v>-101565.79999999974</v>
      </c>
      <c r="Q15" s="55">
        <f>Q10+Q11</f>
        <v>2939.6000000000859</v>
      </c>
      <c r="R15" s="4"/>
      <c r="S15" s="1"/>
    </row>
    <row r="16" ht="17.25">
      <c r="A16" s="56"/>
      <c r="B16" s="56"/>
      <c r="C16" s="56"/>
      <c r="D16" s="56"/>
      <c r="E16" s="56"/>
      <c r="F16" s="56"/>
      <c r="G16" s="56"/>
      <c r="H16" s="56"/>
      <c r="I16" s="5" t="s">
        <v>34</v>
      </c>
      <c r="J16" s="56"/>
      <c r="K16" s="56"/>
      <c r="L16" s="56"/>
      <c r="M16" s="56"/>
      <c r="N16" s="56"/>
      <c r="O16" s="57"/>
      <c r="P16" s="58"/>
      <c r="Q16" s="56"/>
      <c r="R16" s="56"/>
    </row>
    <row r="17" ht="86.25" customHeight="1">
      <c r="A17" s="6" t="s">
        <v>2</v>
      </c>
      <c r="B17" s="7" t="s">
        <v>3</v>
      </c>
      <c r="C17" s="7" t="s">
        <v>35</v>
      </c>
      <c r="D17" s="7" t="s">
        <v>5</v>
      </c>
      <c r="E17" s="7" t="s">
        <v>36</v>
      </c>
      <c r="F17" s="7" t="s">
        <v>37</v>
      </c>
      <c r="G17" s="7" t="s">
        <v>8</v>
      </c>
      <c r="H17" s="7" t="s">
        <v>9</v>
      </c>
      <c r="I17" s="8" t="s">
        <v>10</v>
      </c>
      <c r="J17" s="7" t="s">
        <v>38</v>
      </c>
      <c r="K17" s="7" t="s">
        <v>11</v>
      </c>
      <c r="L17" s="7" t="s">
        <v>37</v>
      </c>
      <c r="M17" s="7" t="s">
        <v>14</v>
      </c>
      <c r="N17" s="7" t="s">
        <v>13</v>
      </c>
      <c r="O17" s="10" t="s">
        <v>39</v>
      </c>
      <c r="P17" s="59" t="s">
        <v>40</v>
      </c>
      <c r="Q17" s="12" t="s">
        <v>17</v>
      </c>
      <c r="R17" s="12" t="s">
        <v>18</v>
      </c>
      <c r="S17" s="60"/>
    </row>
    <row r="18">
      <c r="A18" s="61">
        <v>1</v>
      </c>
      <c r="B18" s="16">
        <v>2</v>
      </c>
      <c r="C18" s="16">
        <v>3</v>
      </c>
      <c r="D18" s="16">
        <v>4</v>
      </c>
      <c r="E18" s="16">
        <v>5</v>
      </c>
      <c r="F18" s="16">
        <v>6</v>
      </c>
      <c r="G18" s="16">
        <v>7</v>
      </c>
      <c r="H18" s="16">
        <v>8</v>
      </c>
      <c r="I18" s="62">
        <v>9</v>
      </c>
      <c r="J18" s="16">
        <v>10</v>
      </c>
      <c r="K18" s="16">
        <v>11</v>
      </c>
      <c r="L18" s="16">
        <v>12</v>
      </c>
      <c r="M18" s="16"/>
      <c r="N18" s="16"/>
      <c r="O18" s="63">
        <v>13</v>
      </c>
      <c r="P18" s="64">
        <v>14</v>
      </c>
      <c r="Q18" s="65">
        <v>15</v>
      </c>
      <c r="R18" s="65">
        <v>16</v>
      </c>
      <c r="S18" s="15">
        <v>17</v>
      </c>
    </row>
    <row r="19">
      <c r="A19" s="66" t="s">
        <v>19</v>
      </c>
      <c r="B19" s="67" t="s">
        <v>20</v>
      </c>
      <c r="C19" s="26">
        <v>37496.900000000001</v>
      </c>
      <c r="D19" s="26"/>
      <c r="E19" s="26">
        <v>999.89999999999998</v>
      </c>
      <c r="F19" s="26">
        <v>18.899999999999999</v>
      </c>
      <c r="G19" s="26"/>
      <c r="H19" s="26">
        <v>124015.8</v>
      </c>
      <c r="I19" s="27">
        <f t="shared" ref="I19:I20" si="8">H19+F19+E19+C19+D19</f>
        <v>162531.5</v>
      </c>
      <c r="J19" s="26">
        <v>4037.9000000000001</v>
      </c>
      <c r="K19" s="26">
        <f>10318.5-239.699999999999</f>
        <v>10078.800000000001</v>
      </c>
      <c r="L19" s="26">
        <f t="shared" ref="L19:L25" si="9">F19</f>
        <v>18.899999999999999</v>
      </c>
      <c r="M19" s="26"/>
      <c r="N19" s="26"/>
      <c r="O19" s="29">
        <f t="shared" ref="O19:O20" si="10">L19+K19+J19+N19</f>
        <v>14135.6</v>
      </c>
      <c r="P19" s="30">
        <f>I19-O19</f>
        <v>148395.89999999999</v>
      </c>
      <c r="Q19" s="31">
        <f t="shared" ref="Q19:Q25" si="11">O19+P19</f>
        <v>162531.5</v>
      </c>
      <c r="R19" s="68">
        <f t="shared" ref="R19:R26" si="12">I19-Q19</f>
        <v>0</v>
      </c>
      <c r="S19" s="33">
        <f t="shared" ref="S19:S26" si="13">K19+P19+N19</f>
        <v>158474.69999999998</v>
      </c>
      <c r="U19" s="69">
        <f>J19/(C19+H19)*100</f>
        <v>2.5000510795745474</v>
      </c>
      <c r="V19" s="70">
        <f>(I19-E19)*2.5%</f>
        <v>4038.2900000000004</v>
      </c>
    </row>
    <row r="20">
      <c r="A20" s="66" t="s">
        <v>21</v>
      </c>
      <c r="B20" s="67" t="s">
        <v>22</v>
      </c>
      <c r="C20" s="26">
        <v>7539.1999999999998</v>
      </c>
      <c r="D20" s="26"/>
      <c r="E20" s="26">
        <v>0</v>
      </c>
      <c r="F20" s="26">
        <v>463</v>
      </c>
      <c r="G20" s="26"/>
      <c r="H20" s="26">
        <v>15634.5</v>
      </c>
      <c r="I20" s="27">
        <f t="shared" si="8"/>
        <v>23636.700000000001</v>
      </c>
      <c r="J20" s="26">
        <v>579.39999999999998</v>
      </c>
      <c r="K20" s="36">
        <v>22564.400000000001</v>
      </c>
      <c r="L20" s="26">
        <f t="shared" si="9"/>
        <v>463</v>
      </c>
      <c r="M20" s="26"/>
      <c r="N20" s="26"/>
      <c r="O20" s="29">
        <f t="shared" si="10"/>
        <v>23606.800000000003</v>
      </c>
      <c r="P20" s="30">
        <v>29.899999999999999</v>
      </c>
      <c r="Q20" s="31">
        <f t="shared" si="11"/>
        <v>23636.700000000004</v>
      </c>
      <c r="R20" s="68">
        <f t="shared" si="12"/>
        <v>-3.637978807091713e-012</v>
      </c>
      <c r="S20" s="33">
        <f t="shared" si="13"/>
        <v>22594.300000000003</v>
      </c>
      <c r="T20" s="37">
        <f t="shared" ref="T20:T38" si="14">Q20-I20</f>
        <v>3.637978807091713e-012</v>
      </c>
      <c r="U20" s="69">
        <f t="shared" ref="U20:U25" si="15">J20/(C20+H20+D20)*100</f>
        <v>2.5002481261084761</v>
      </c>
      <c r="V20" s="70">
        <f t="shared" ref="V20:V25" si="16">(I20-E20-F20)*2.5%</f>
        <v>579.34250000000009</v>
      </c>
      <c r="W20" s="37">
        <f>I20-F20-E20</f>
        <v>23173.700000000001</v>
      </c>
    </row>
    <row r="21">
      <c r="A21" s="66" t="s">
        <v>23</v>
      </c>
      <c r="B21" s="67" t="s">
        <v>24</v>
      </c>
      <c r="C21" s="26">
        <v>28580.799999999999</v>
      </c>
      <c r="D21" s="71">
        <v>10078.299999999999</v>
      </c>
      <c r="E21" s="26">
        <v>315</v>
      </c>
      <c r="F21" s="26">
        <v>247.5</v>
      </c>
      <c r="G21" s="26">
        <v>800</v>
      </c>
      <c r="H21" s="26">
        <v>4977.1000000000004</v>
      </c>
      <c r="I21" s="27">
        <f>H21+F21+E21+C21+D21+G21</f>
        <v>44998.699999999997</v>
      </c>
      <c r="J21" s="26">
        <v>1091</v>
      </c>
      <c r="K21" s="36">
        <f>43102.3-N21-P21-242.099999999999</f>
        <v>42848.200000000004</v>
      </c>
      <c r="L21" s="26">
        <f t="shared" si="9"/>
        <v>247.5</v>
      </c>
      <c r="M21" s="26">
        <v>800</v>
      </c>
      <c r="N21" s="26">
        <v>8.0999999999999996</v>
      </c>
      <c r="O21" s="29">
        <f>L21+K21+J21+N21+M21</f>
        <v>44994.800000000003</v>
      </c>
      <c r="P21" s="30">
        <v>3.8999999999999999</v>
      </c>
      <c r="Q21" s="31">
        <f t="shared" si="11"/>
        <v>44998.700000000004</v>
      </c>
      <c r="R21" s="68">
        <f t="shared" si="12"/>
        <v>-7.2759576141834259e-012</v>
      </c>
      <c r="S21" s="33">
        <f t="shared" si="13"/>
        <v>42860.200000000004</v>
      </c>
      <c r="T21" s="37">
        <f t="shared" si="14"/>
        <v>7.2759576141834259e-012</v>
      </c>
      <c r="U21" s="69">
        <f t="shared" si="15"/>
        <v>2.5002177091497426</v>
      </c>
      <c r="V21" s="70">
        <f t="shared" si="16"/>
        <v>1110.905</v>
      </c>
    </row>
    <row r="22">
      <c r="A22" s="66" t="s">
        <v>25</v>
      </c>
      <c r="B22" s="67" t="s">
        <v>26</v>
      </c>
      <c r="C22" s="26">
        <v>5058.5</v>
      </c>
      <c r="D22" s="71">
        <v>2650.8000000000002</v>
      </c>
      <c r="E22" s="26">
        <v>0</v>
      </c>
      <c r="F22" s="26">
        <v>458</v>
      </c>
      <c r="G22" s="26"/>
      <c r="H22" s="26">
        <v>14760.5</v>
      </c>
      <c r="I22" s="27">
        <f>H22+F22+E22+C22+D22</f>
        <v>22927.799999999999</v>
      </c>
      <c r="J22" s="26">
        <v>561.79999999999995</v>
      </c>
      <c r="K22" s="36">
        <f>21900.9-N22-P22+7.09999999999999</f>
        <v>21879.900000000001</v>
      </c>
      <c r="L22" s="26">
        <f t="shared" si="9"/>
        <v>458</v>
      </c>
      <c r="M22" s="26"/>
      <c r="N22" s="26"/>
      <c r="O22" s="29">
        <f t="shared" ref="O22:O25" si="17">L22+K22+J22+N22</f>
        <v>22899.700000000001</v>
      </c>
      <c r="P22" s="30">
        <v>28.100000000000001</v>
      </c>
      <c r="Q22" s="31">
        <f t="shared" si="11"/>
        <v>22927.799999999999</v>
      </c>
      <c r="R22" s="68">
        <f t="shared" si="12"/>
        <v>0</v>
      </c>
      <c r="S22" s="33">
        <f t="shared" si="13"/>
        <v>21908</v>
      </c>
      <c r="T22" s="37">
        <f t="shared" si="14"/>
        <v>0</v>
      </c>
      <c r="U22" s="69">
        <f t="shared" si="15"/>
        <v>2.5002447729841828</v>
      </c>
      <c r="V22" s="70">
        <f t="shared" si="16"/>
        <v>561.745</v>
      </c>
    </row>
    <row r="23">
      <c r="A23" s="66" t="s">
        <v>27</v>
      </c>
      <c r="B23" s="67" t="s">
        <v>28</v>
      </c>
      <c r="C23" s="26">
        <v>27593</v>
      </c>
      <c r="D23" s="71">
        <v>2934.0999999999999</v>
      </c>
      <c r="E23" s="26">
        <v>200</v>
      </c>
      <c r="F23" s="26">
        <v>251.30000000000001</v>
      </c>
      <c r="G23" s="26"/>
      <c r="H23" s="26">
        <v>4944.1000000000004</v>
      </c>
      <c r="I23" s="27">
        <f>H23+F23+E23+C23+D23+G23</f>
        <v>35922.5</v>
      </c>
      <c r="J23" s="26">
        <v>886.79999999999995</v>
      </c>
      <c r="K23" s="36">
        <f>34909.1999999999-N23-P23-124.8</f>
        <v>34780.099999999897</v>
      </c>
      <c r="L23" s="26">
        <f t="shared" si="9"/>
        <v>251.30000000000001</v>
      </c>
      <c r="M23" s="26"/>
      <c r="N23" s="26"/>
      <c r="O23" s="29">
        <f t="shared" si="17"/>
        <v>35918.199999999903</v>
      </c>
      <c r="P23" s="30">
        <v>4.2999999999999998</v>
      </c>
      <c r="Q23" s="31">
        <f t="shared" si="11"/>
        <v>35922.499999999905</v>
      </c>
      <c r="R23" s="31">
        <f t="shared" si="12"/>
        <v>9.4587448984384537e-011</v>
      </c>
      <c r="S23" s="33">
        <f t="shared" si="13"/>
        <v>34784.3999999999</v>
      </c>
      <c r="T23" s="37">
        <f t="shared" si="14"/>
        <v>-9.4587448984384537e-011</v>
      </c>
      <c r="U23" s="69">
        <f t="shared" si="15"/>
        <v>2.5000563837704957</v>
      </c>
      <c r="V23" s="70">
        <f t="shared" si="16"/>
        <v>886.77999999999997</v>
      </c>
    </row>
    <row r="24">
      <c r="A24" s="66" t="s">
        <v>29</v>
      </c>
      <c r="B24" s="67" t="s">
        <v>30</v>
      </c>
      <c r="C24" s="26">
        <v>8923.3999999999996</v>
      </c>
      <c r="D24" s="71">
        <v>122.59999999999999</v>
      </c>
      <c r="E24" s="26">
        <v>0</v>
      </c>
      <c r="F24" s="26">
        <v>471.10000000000002</v>
      </c>
      <c r="G24" s="26"/>
      <c r="H24" s="26">
        <v>15356.799999999999</v>
      </c>
      <c r="I24" s="27">
        <f t="shared" ref="I24:I25" si="18">H24+F24+E24+C24+D24</f>
        <v>24873.899999999998</v>
      </c>
      <c r="J24" s="26">
        <v>610.10000000000002</v>
      </c>
      <c r="K24" s="36">
        <f>23778.7-P24-N24+14</f>
        <v>23766</v>
      </c>
      <c r="L24" s="26">
        <f t="shared" si="9"/>
        <v>471.10000000000002</v>
      </c>
      <c r="M24" s="26"/>
      <c r="N24" s="26"/>
      <c r="O24" s="29">
        <f t="shared" si="17"/>
        <v>24847.199999999997</v>
      </c>
      <c r="P24" s="30">
        <v>26.699999999999999</v>
      </c>
      <c r="Q24" s="31">
        <f t="shared" si="11"/>
        <v>24873.899999999998</v>
      </c>
      <c r="R24" s="31">
        <f t="shared" si="12"/>
        <v>0</v>
      </c>
      <c r="S24" s="33">
        <f t="shared" si="13"/>
        <v>23792.700000000001</v>
      </c>
      <c r="T24" s="37">
        <f t="shared" si="14"/>
        <v>0</v>
      </c>
      <c r="U24" s="69">
        <f t="shared" si="15"/>
        <v>2.5001229367121813</v>
      </c>
      <c r="V24" s="70">
        <f t="shared" si="16"/>
        <v>610.07000000000005</v>
      </c>
    </row>
    <row r="25">
      <c r="A25" s="66" t="s">
        <v>31</v>
      </c>
      <c r="B25" s="67" t="s">
        <v>32</v>
      </c>
      <c r="C25" s="26">
        <f>'Расчет Дотации'!J34+'Расчет Дотации'!H34</f>
        <v>3419.8248532843099</v>
      </c>
      <c r="D25" s="26"/>
      <c r="E25" s="26">
        <v>0</v>
      </c>
      <c r="F25" s="26">
        <v>467</v>
      </c>
      <c r="G25" s="26"/>
      <c r="H25" s="26">
        <v>16789.200000000001</v>
      </c>
      <c r="I25" s="27">
        <f t="shared" si="18"/>
        <v>20676.024853284311</v>
      </c>
      <c r="J25" s="26">
        <v>488.19999999999999</v>
      </c>
      <c r="K25" s="26">
        <f>20845.5-N25-P25-1808.3</f>
        <v>19014.5</v>
      </c>
      <c r="L25" s="26">
        <f t="shared" si="9"/>
        <v>467</v>
      </c>
      <c r="M25" s="26"/>
      <c r="N25" s="26"/>
      <c r="O25" s="29">
        <f t="shared" si="17"/>
        <v>19969.700000000001</v>
      </c>
      <c r="P25" s="30">
        <v>22.699999999999999</v>
      </c>
      <c r="Q25" s="31">
        <f t="shared" si="11"/>
        <v>19992.400000000001</v>
      </c>
      <c r="R25" s="31">
        <f t="shared" si="12"/>
        <v>683.62485328430921</v>
      </c>
      <c r="S25" s="33">
        <f t="shared" si="13"/>
        <v>19037.200000000001</v>
      </c>
      <c r="T25" s="37">
        <f t="shared" si="14"/>
        <v>-683.62485328430921</v>
      </c>
      <c r="U25" s="69">
        <f t="shared" si="15"/>
        <v>2.4157523856014218</v>
      </c>
      <c r="V25" s="70">
        <f t="shared" si="16"/>
        <v>505.22562133210778</v>
      </c>
    </row>
    <row r="26">
      <c r="A26" s="72"/>
      <c r="B26" s="73" t="s">
        <v>33</v>
      </c>
      <c r="C26" s="45">
        <f>SUM(C19:C25)</f>
        <v>118611.6248532843</v>
      </c>
      <c r="D26" s="45">
        <f>SUM(D19:D25)</f>
        <v>15785.799999999999</v>
      </c>
      <c r="E26" s="45">
        <f>E19+E20+E21+E22+E23+E24+E25</f>
        <v>1514.9000000000001</v>
      </c>
      <c r="F26" s="45">
        <f>F19+F20+F21+F22+F23+F24+F25</f>
        <v>2376.8000000000002</v>
      </c>
      <c r="G26" s="45">
        <f>G19+G20+G21+G22+G23+G24+G25</f>
        <v>800</v>
      </c>
      <c r="H26" s="45">
        <f>SUM(H19:H25)</f>
        <v>196478</v>
      </c>
      <c r="I26" s="27">
        <f>H26+F26+E26+C26+D26+G26</f>
        <v>335567.12485328427</v>
      </c>
      <c r="J26" s="45">
        <f>SUM(J19:J25)</f>
        <v>8255.2000000000007</v>
      </c>
      <c r="K26" s="45">
        <f>SUM(K19:K25)</f>
        <v>174931.89999999991</v>
      </c>
      <c r="L26" s="45">
        <f>L19+L20+L21+L22+L23+L24+L25</f>
        <v>2376.8000000000002</v>
      </c>
      <c r="M26" s="45">
        <f>M19+M20+M21+M22+M23+M24+M25</f>
        <v>800</v>
      </c>
      <c r="N26" s="45">
        <f>N19+N20+N21+N22+N23+N24+N25</f>
        <v>8.0999999999999996</v>
      </c>
      <c r="O26" s="29">
        <f>J26+K26+L26+N26+M26</f>
        <v>186371.99999999991</v>
      </c>
      <c r="P26" s="30">
        <f>SUM(P19:P25)</f>
        <v>148511.5</v>
      </c>
      <c r="Q26" s="31">
        <f>Q19+Q20+Q21+Q22+Q23+Q24+Q25</f>
        <v>334883.49999999994</v>
      </c>
      <c r="R26" s="31">
        <f t="shared" si="12"/>
        <v>683.62485328433104</v>
      </c>
      <c r="S26" s="33">
        <f t="shared" si="13"/>
        <v>323451.49999999988</v>
      </c>
      <c r="T26" s="37">
        <f t="shared" si="14"/>
        <v>-683.62485328433104</v>
      </c>
      <c r="U26" s="69"/>
      <c r="V26" s="70">
        <f>(I26-E26)*2.5%</f>
        <v>8351.305621332107</v>
      </c>
    </row>
    <row r="27">
      <c r="A27" s="56"/>
      <c r="B27" s="74"/>
      <c r="C27" s="75"/>
      <c r="D27" s="76">
        <f>C26+D26</f>
        <v>134397.42485328429</v>
      </c>
      <c r="E27" s="75">
        <f>D27+E26</f>
        <v>135912.32485328428</v>
      </c>
      <c r="F27" s="76"/>
      <c r="G27" s="76"/>
      <c r="H27" s="76"/>
      <c r="I27" s="77"/>
      <c r="J27" s="76"/>
      <c r="K27" s="76"/>
      <c r="L27" s="76"/>
      <c r="M27" s="76"/>
      <c r="N27" s="76"/>
      <c r="O27" s="78"/>
      <c r="P27" s="79"/>
      <c r="Q27" s="80"/>
      <c r="R27" s="81">
        <f>R22+R23</f>
        <v>9.4587448984384537e-011</v>
      </c>
      <c r="S27" s="82">
        <f t="shared" ref="S27:S29" si="19">K27+P27</f>
        <v>0</v>
      </c>
      <c r="T27" s="37">
        <f t="shared" si="14"/>
        <v>0</v>
      </c>
    </row>
    <row r="28" ht="17.25">
      <c r="A28" s="56"/>
      <c r="B28" s="56"/>
      <c r="C28" s="56"/>
      <c r="D28" s="56"/>
      <c r="E28" s="56"/>
      <c r="F28" s="56"/>
      <c r="G28" s="56"/>
      <c r="H28" s="56"/>
      <c r="I28" s="5" t="s">
        <v>41</v>
      </c>
      <c r="J28" s="56"/>
      <c r="K28" s="56"/>
      <c r="L28" s="83"/>
      <c r="M28" s="83"/>
      <c r="N28" s="56"/>
      <c r="O28" s="56"/>
      <c r="P28" s="84">
        <f>R27-E26-C26</f>
        <v>-120126.52485328421</v>
      </c>
      <c r="Q28" s="84">
        <f>P28-P15</f>
        <v>-18560.724853284468</v>
      </c>
      <c r="R28" s="85"/>
      <c r="S28" s="82">
        <f t="shared" si="19"/>
        <v>-120126.52485328421</v>
      </c>
      <c r="T28" s="37" t="e">
        <f t="shared" si="14"/>
        <v>#VALUE!</v>
      </c>
    </row>
    <row r="29" ht="87" customHeight="1">
      <c r="A29" s="6" t="s">
        <v>2</v>
      </c>
      <c r="B29" s="7" t="s">
        <v>3</v>
      </c>
      <c r="C29" s="7" t="s">
        <v>42</v>
      </c>
      <c r="D29" s="7" t="s">
        <v>5</v>
      </c>
      <c r="E29" s="7" t="s">
        <v>36</v>
      </c>
      <c r="F29" s="7" t="s">
        <v>37</v>
      </c>
      <c r="G29" s="7" t="s">
        <v>8</v>
      </c>
      <c r="H29" s="7" t="s">
        <v>9</v>
      </c>
      <c r="I29" s="8" t="s">
        <v>10</v>
      </c>
      <c r="J29" s="7" t="s">
        <v>38</v>
      </c>
      <c r="K29" s="7" t="s">
        <v>43</v>
      </c>
      <c r="L29" s="7" t="s">
        <v>37</v>
      </c>
      <c r="M29" s="7" t="s">
        <v>14</v>
      </c>
      <c r="N29" s="7" t="s">
        <v>13</v>
      </c>
      <c r="O29" s="10" t="s">
        <v>15</v>
      </c>
      <c r="P29" s="59" t="s">
        <v>40</v>
      </c>
      <c r="Q29" s="12" t="s">
        <v>17</v>
      </c>
      <c r="R29" s="12" t="s">
        <v>18</v>
      </c>
      <c r="S29" s="86" t="e">
        <f t="shared" si="19"/>
        <v>#VALUE!</v>
      </c>
      <c r="T29" s="37" t="e">
        <f t="shared" si="14"/>
        <v>#VALUE!</v>
      </c>
    </row>
    <row r="30">
      <c r="A30" s="61">
        <v>1</v>
      </c>
      <c r="B30" s="16">
        <v>2</v>
      </c>
      <c r="C30" s="16">
        <v>3</v>
      </c>
      <c r="D30" s="16">
        <v>4</v>
      </c>
      <c r="E30" s="16">
        <v>5</v>
      </c>
      <c r="F30" s="16">
        <v>6</v>
      </c>
      <c r="G30" s="16"/>
      <c r="H30" s="16">
        <v>8</v>
      </c>
      <c r="I30" s="62">
        <v>9</v>
      </c>
      <c r="J30" s="16">
        <v>10</v>
      </c>
      <c r="K30" s="16">
        <v>11</v>
      </c>
      <c r="L30" s="16">
        <v>12</v>
      </c>
      <c r="M30" s="16"/>
      <c r="N30" s="16"/>
      <c r="O30" s="63">
        <v>13</v>
      </c>
      <c r="P30" s="64">
        <v>14</v>
      </c>
      <c r="Q30" s="65">
        <v>15</v>
      </c>
      <c r="R30" s="65">
        <v>16</v>
      </c>
      <c r="S30" s="86">
        <v>17</v>
      </c>
      <c r="T30" s="37">
        <f t="shared" si="14"/>
        <v>6</v>
      </c>
    </row>
    <row r="31">
      <c r="A31" s="87" t="s">
        <v>19</v>
      </c>
      <c r="B31" s="67" t="s">
        <v>20</v>
      </c>
      <c r="C31" s="26">
        <v>37496.900000000001</v>
      </c>
      <c r="D31" s="26"/>
      <c r="E31" s="26">
        <v>999.89999999999998</v>
      </c>
      <c r="F31" s="26">
        <v>18.899999999999999</v>
      </c>
      <c r="G31" s="26"/>
      <c r="H31" s="26">
        <v>126013.10000000001</v>
      </c>
      <c r="I31" s="27">
        <f>C31+E31+F31+H31</f>
        <v>164528.80000000002</v>
      </c>
      <c r="J31" s="26">
        <v>8175.5</v>
      </c>
      <c r="K31" s="26">
        <f>10340.2999999999-239.699999999999</f>
        <v>10100.5999999999</v>
      </c>
      <c r="L31" s="26">
        <f t="shared" ref="L31:L37" si="20">F31</f>
        <v>18.899999999999999</v>
      </c>
      <c r="M31" s="26"/>
      <c r="N31" s="26"/>
      <c r="O31" s="88">
        <f>L31+K31+J31+N31</f>
        <v>18294.999999999898</v>
      </c>
      <c r="P31" s="89">
        <f>I31-O31</f>
        <v>146233.8000000001</v>
      </c>
      <c r="Q31" s="90">
        <f t="shared" ref="Q31:Q37" si="21">P31+O31</f>
        <v>164528.79999999999</v>
      </c>
      <c r="R31" s="91">
        <f t="shared" ref="R31:R38" si="22">I31-Q31</f>
        <v>2.9103830456733704e-011</v>
      </c>
      <c r="S31" s="39">
        <f t="shared" ref="S31:S38" si="23">K31+P31+N31</f>
        <v>156334.39999999999</v>
      </c>
      <c r="T31" s="37">
        <f t="shared" si="14"/>
        <v>-2.9103830456733704e-011</v>
      </c>
      <c r="U31" s="69">
        <f t="shared" ref="U31:U37" si="24">J31/(C31+D31+H31)*100</f>
        <v>5</v>
      </c>
      <c r="V31" s="70">
        <f>(I31-E31)*5%</f>
        <v>8176.4450000000015</v>
      </c>
    </row>
    <row r="32">
      <c r="A32" s="87" t="s">
        <v>21</v>
      </c>
      <c r="B32" s="67" t="s">
        <v>22</v>
      </c>
      <c r="C32" s="26">
        <v>7622.6999999999998</v>
      </c>
      <c r="D32" s="26"/>
      <c r="E32" s="26">
        <v>0</v>
      </c>
      <c r="F32" s="26">
        <v>476.10000000000002</v>
      </c>
      <c r="G32" s="26">
        <v>800</v>
      </c>
      <c r="H32" s="26">
        <v>15634.5</v>
      </c>
      <c r="I32" s="27">
        <f t="shared" ref="I32:I33" si="25">C32+E32+F32+H32+D32+G32</f>
        <v>24533.299999999999</v>
      </c>
      <c r="J32" s="26">
        <v>1162.9000000000001</v>
      </c>
      <c r="K32" s="36">
        <f>23190.4-N32-P32-1096.09999999999</f>
        <v>22056.30000000001</v>
      </c>
      <c r="L32" s="26">
        <f t="shared" si="20"/>
        <v>476.10000000000002</v>
      </c>
      <c r="M32" s="26">
        <v>800</v>
      </c>
      <c r="N32" s="26">
        <v>8.0999999999999996</v>
      </c>
      <c r="O32" s="88">
        <f t="shared" ref="O32:O33" si="26">L32+K32+J32+N32+M32</f>
        <v>24503.400000000009</v>
      </c>
      <c r="P32" s="30">
        <v>29.899999999999999</v>
      </c>
      <c r="Q32" s="90">
        <f t="shared" si="21"/>
        <v>24533.30000000001</v>
      </c>
      <c r="R32" s="91">
        <f t="shared" si="22"/>
        <v>-1.0913936421275139e-011</v>
      </c>
      <c r="S32" s="39">
        <f t="shared" si="23"/>
        <v>22094.30000000001</v>
      </c>
      <c r="T32" s="37">
        <f t="shared" si="14"/>
        <v>1.0913936421275139e-011</v>
      </c>
      <c r="U32" s="69">
        <f t="shared" si="24"/>
        <v>5.0001719897494112</v>
      </c>
      <c r="V32" s="70">
        <f t="shared" ref="V32:V37" si="27">(I32-E32-F32)*5%</f>
        <v>1202.8600000000001</v>
      </c>
    </row>
    <row r="33">
      <c r="A33" s="87" t="s">
        <v>23</v>
      </c>
      <c r="B33" s="67" t="s">
        <v>24</v>
      </c>
      <c r="C33" s="26">
        <v>28844.5</v>
      </c>
      <c r="D33" s="71">
        <v>10518.799999999999</v>
      </c>
      <c r="E33" s="26">
        <v>315</v>
      </c>
      <c r="F33" s="26">
        <v>254</v>
      </c>
      <c r="G33" s="26">
        <v>300</v>
      </c>
      <c r="H33" s="26">
        <v>4976.1999999999998</v>
      </c>
      <c r="I33" s="27">
        <f t="shared" si="25"/>
        <v>45208.5</v>
      </c>
      <c r="J33" s="26">
        <v>2217</v>
      </c>
      <c r="K33" s="36">
        <f>43746.5999999999-P33-N33-1309.09999999999</f>
        <v>42430.499999999905</v>
      </c>
      <c r="L33" s="26">
        <f t="shared" si="20"/>
        <v>254</v>
      </c>
      <c r="M33" s="26">
        <v>300</v>
      </c>
      <c r="N33" s="26">
        <v>3.1000000000000001</v>
      </c>
      <c r="O33" s="88">
        <f t="shared" si="26"/>
        <v>45204.599999999904</v>
      </c>
      <c r="P33" s="30">
        <v>3.8999999999999999</v>
      </c>
      <c r="Q33" s="90">
        <f t="shared" si="21"/>
        <v>45208.499999999905</v>
      </c>
      <c r="R33" s="91">
        <f t="shared" si="22"/>
        <v>9.4587448984384537e-011</v>
      </c>
      <c r="S33" s="39">
        <f t="shared" si="23"/>
        <v>42437.499999999905</v>
      </c>
      <c r="T33" s="37">
        <f t="shared" si="14"/>
        <v>-9.4587448984384537e-011</v>
      </c>
      <c r="U33" s="69">
        <f t="shared" si="24"/>
        <v>5.0000563831346767</v>
      </c>
      <c r="V33" s="70">
        <f t="shared" si="27"/>
        <v>2231.9749999999999</v>
      </c>
    </row>
    <row r="34">
      <c r="A34" s="87" t="s">
        <v>25</v>
      </c>
      <c r="B34" s="67" t="s">
        <v>26</v>
      </c>
      <c r="C34" s="26">
        <v>4855.8000000000002</v>
      </c>
      <c r="D34" s="71">
        <v>3612</v>
      </c>
      <c r="E34" s="26">
        <v>0</v>
      </c>
      <c r="F34" s="26">
        <v>471.10000000000002</v>
      </c>
      <c r="G34" s="26"/>
      <c r="H34" s="26">
        <v>14760.5</v>
      </c>
      <c r="I34" s="27">
        <f>H34+F34+E34+C34+D34</f>
        <v>23699.400000000001</v>
      </c>
      <c r="J34" s="26">
        <v>1161.5</v>
      </c>
      <c r="K34" s="36">
        <f>22069.2999999999-N34-P34-2.5</f>
        <v>22038.699999999903</v>
      </c>
      <c r="L34" s="26">
        <f t="shared" si="20"/>
        <v>471.10000000000002</v>
      </c>
      <c r="M34" s="26"/>
      <c r="N34" s="26"/>
      <c r="O34" s="88">
        <f>L34+K34+J34+N34</f>
        <v>23671.299999999901</v>
      </c>
      <c r="P34" s="30">
        <v>28.100000000000001</v>
      </c>
      <c r="Q34" s="90">
        <f t="shared" si="21"/>
        <v>23699.3999999999</v>
      </c>
      <c r="R34" s="91">
        <f t="shared" si="22"/>
        <v>1.0186340659856796e-010</v>
      </c>
      <c r="S34" s="39">
        <f t="shared" si="23"/>
        <v>22066.799999999901</v>
      </c>
      <c r="T34" s="37">
        <f t="shared" si="14"/>
        <v>-1.0186340659856796e-010</v>
      </c>
      <c r="U34" s="69">
        <f t="shared" si="24"/>
        <v>5.0003659329352557</v>
      </c>
      <c r="V34" s="70">
        <f t="shared" si="27"/>
        <v>1161.4150000000002</v>
      </c>
    </row>
    <row r="35">
      <c r="A35" s="87" t="s">
        <v>27</v>
      </c>
      <c r="B35" s="67" t="s">
        <v>28</v>
      </c>
      <c r="C35" s="26">
        <v>27494.900000000001</v>
      </c>
      <c r="D35" s="71">
        <v>2934.0999999999999</v>
      </c>
      <c r="E35" s="26">
        <v>200</v>
      </c>
      <c r="F35" s="26">
        <v>257.80000000000001</v>
      </c>
      <c r="G35" s="26">
        <v>300</v>
      </c>
      <c r="H35" s="26">
        <v>4944.1999999999998</v>
      </c>
      <c r="I35" s="27">
        <f>C35+E35+F35+H35+D35+G35</f>
        <v>36131</v>
      </c>
      <c r="J35" s="26">
        <v>1768.7</v>
      </c>
      <c r="K35" s="36">
        <f>35030-N35-P35-1225.5</f>
        <v>33797.099999999999</v>
      </c>
      <c r="L35" s="26">
        <f t="shared" si="20"/>
        <v>257.80000000000001</v>
      </c>
      <c r="M35" s="26">
        <v>300</v>
      </c>
      <c r="N35" s="26">
        <v>3.1000000000000001</v>
      </c>
      <c r="O35" s="88">
        <f>L35+K35+J35+N35+M35</f>
        <v>36126.699999999997</v>
      </c>
      <c r="P35" s="30">
        <v>4.2999999999999998</v>
      </c>
      <c r="Q35" s="90">
        <f t="shared" si="21"/>
        <v>36131</v>
      </c>
      <c r="R35" s="90">
        <f t="shared" si="22"/>
        <v>0</v>
      </c>
      <c r="S35" s="39">
        <f t="shared" si="23"/>
        <v>33804.5</v>
      </c>
      <c r="T35" s="37">
        <f t="shared" si="14"/>
        <v>0</v>
      </c>
      <c r="U35" s="69">
        <f t="shared" si="24"/>
        <v>5.0001130799588394</v>
      </c>
      <c r="V35" s="70">
        <f t="shared" si="27"/>
        <v>1783.6599999999999</v>
      </c>
    </row>
    <row r="36">
      <c r="A36" s="87" t="s">
        <v>29</v>
      </c>
      <c r="B36" s="67" t="s">
        <v>30</v>
      </c>
      <c r="C36" s="26">
        <f>'Расчет Дотации'!O33+'Расчет Дотации'!M33</f>
        <v>7720.4556957632849</v>
      </c>
      <c r="D36" s="71"/>
      <c r="E36" s="26">
        <v>0</v>
      </c>
      <c r="F36" s="26">
        <v>484.19999999999999</v>
      </c>
      <c r="G36" s="26"/>
      <c r="H36" s="26">
        <v>15486.799999999999</v>
      </c>
      <c r="I36" s="27">
        <f t="shared" ref="I36:I37" si="28">C36+E36+F36+H36+D36</f>
        <v>23691.455695763285</v>
      </c>
      <c r="J36" s="26">
        <v>1218.9000000000001</v>
      </c>
      <c r="K36" s="36">
        <f>23960.5-P36-N36-802.899999999999</f>
        <v>23130.900000000001</v>
      </c>
      <c r="L36" s="26">
        <f t="shared" si="20"/>
        <v>484.19999999999999</v>
      </c>
      <c r="M36" s="26"/>
      <c r="N36" s="26"/>
      <c r="O36" s="88">
        <f t="shared" ref="O36:O37" si="29">L36+K36+J36+N36</f>
        <v>24834.000000000004</v>
      </c>
      <c r="P36" s="30">
        <v>26.699999999999999</v>
      </c>
      <c r="Q36" s="90">
        <f t="shared" si="21"/>
        <v>24860.700000000004</v>
      </c>
      <c r="R36" s="90">
        <f t="shared" si="22"/>
        <v>-1169.2443042367195</v>
      </c>
      <c r="S36" s="39">
        <f t="shared" si="23"/>
        <v>23157.600000000002</v>
      </c>
      <c r="T36" s="37">
        <f t="shared" si="14"/>
        <v>1169.2443042367195</v>
      </c>
      <c r="U36" s="69">
        <f t="shared" si="24"/>
        <v>5.2522366969159666</v>
      </c>
      <c r="V36" s="70">
        <f t="shared" si="27"/>
        <v>1160.3627847881642</v>
      </c>
    </row>
    <row r="37">
      <c r="A37" s="87" t="s">
        <v>31</v>
      </c>
      <c r="B37" s="67" t="s">
        <v>32</v>
      </c>
      <c r="C37" s="26">
        <f>'Расчет Дотации'!O34+'Расчет Дотации'!M34</f>
        <v>3386.3427066393269</v>
      </c>
      <c r="D37" s="26"/>
      <c r="E37" s="26">
        <v>0</v>
      </c>
      <c r="F37" s="26">
        <v>480.10000000000002</v>
      </c>
      <c r="G37" s="26"/>
      <c r="H37" s="26">
        <v>16939.200000000001</v>
      </c>
      <c r="I37" s="27">
        <f t="shared" si="28"/>
        <v>20805.642706639326</v>
      </c>
      <c r="J37" s="26">
        <v>983.79999999999995</v>
      </c>
      <c r="K37" s="26">
        <f>20745.7999999999-N37-P37-2054.19999999999</f>
        <v>18668.899999999911</v>
      </c>
      <c r="L37" s="26">
        <f t="shared" si="20"/>
        <v>480.10000000000002</v>
      </c>
      <c r="M37" s="26"/>
      <c r="N37" s="26"/>
      <c r="O37" s="88">
        <f t="shared" si="29"/>
        <v>20132.799999999908</v>
      </c>
      <c r="P37" s="30">
        <v>22.699999999999999</v>
      </c>
      <c r="Q37" s="90">
        <f t="shared" si="21"/>
        <v>20155.499999999909</v>
      </c>
      <c r="R37" s="90">
        <f t="shared" si="22"/>
        <v>650.14270663941716</v>
      </c>
      <c r="S37" s="39">
        <f t="shared" si="23"/>
        <v>18691.599999999911</v>
      </c>
      <c r="T37" s="37">
        <f t="shared" si="14"/>
        <v>-650.14270663941716</v>
      </c>
      <c r="U37" s="69">
        <f t="shared" si="24"/>
        <v>4.8402151627599208</v>
      </c>
      <c r="V37" s="70">
        <f t="shared" si="27"/>
        <v>1016.2771353319664</v>
      </c>
    </row>
    <row r="38">
      <c r="A38" s="92"/>
      <c r="B38" s="93" t="s">
        <v>33</v>
      </c>
      <c r="C38" s="45">
        <f>SUM(C31:C37)</f>
        <v>117421.59840240263</v>
      </c>
      <c r="D38" s="45">
        <f>SUM(D31:D37)</f>
        <v>17064.899999999998</v>
      </c>
      <c r="E38" s="45">
        <f>E31+E32+E33+E34+E35+E36+E37</f>
        <v>1514.9000000000001</v>
      </c>
      <c r="F38" s="45">
        <f>F31+F32+F33+F34+F35+F36+F37</f>
        <v>2442.1999999999998</v>
      </c>
      <c r="G38" s="45">
        <f>G31+G32+G33+G34+G35+G36+G37</f>
        <v>1400</v>
      </c>
      <c r="H38" s="45">
        <f>SUM(H31:H37)</f>
        <v>198754.50000000003</v>
      </c>
      <c r="I38" s="27">
        <f>C38+E38+F38+H38+D38+G38</f>
        <v>338598.09840240265</v>
      </c>
      <c r="J38" s="45">
        <f>J31+J32+J33+J34+J35+J36+J37</f>
        <v>16688.299999999999</v>
      </c>
      <c r="K38" s="45">
        <f>SUM(K31:K37)</f>
        <v>172222.99999999962</v>
      </c>
      <c r="L38" s="45">
        <f>L31+L32+L33+L34+L35+L36+L37</f>
        <v>2442.1999999999998</v>
      </c>
      <c r="M38" s="45">
        <f>M31+M32+M33+M34+M35+M36+M37</f>
        <v>1400</v>
      </c>
      <c r="N38" s="45">
        <f>N31+N32+N33+N34+N35+N36+N37</f>
        <v>14.299999999999999</v>
      </c>
      <c r="O38" s="88">
        <f>O31+O32+O33+O34+O35+O36+O37</f>
        <v>192767.79999999961</v>
      </c>
      <c r="P38" s="89">
        <f>SUM(P31:P37)</f>
        <v>146349.40000000011</v>
      </c>
      <c r="Q38" s="90">
        <f>Q31+Q32+Q33+Q34+Q35+Q36+Q37</f>
        <v>339117.19999999972</v>
      </c>
      <c r="R38" s="90">
        <f t="shared" si="22"/>
        <v>-519.10159759706585</v>
      </c>
      <c r="S38" s="39">
        <f t="shared" si="23"/>
        <v>318586.69999999972</v>
      </c>
      <c r="T38" s="37">
        <f t="shared" si="14"/>
        <v>519.10159759706585</v>
      </c>
    </row>
    <row r="39">
      <c r="A39" s="94" t="s">
        <v>44</v>
      </c>
      <c r="B39" s="94"/>
      <c r="C39" s="94"/>
      <c r="D39" s="83">
        <f>C38+D38</f>
        <v>134486.49840240262</v>
      </c>
      <c r="E39" s="83">
        <f>122842.5-D39</f>
        <v>-11643.99840240262</v>
      </c>
      <c r="F39" s="56"/>
      <c r="G39" s="56"/>
      <c r="H39" s="56"/>
      <c r="I39" s="56"/>
      <c r="J39" s="56"/>
      <c r="K39" s="56"/>
      <c r="L39" s="56"/>
      <c r="M39" s="56"/>
      <c r="N39" s="56"/>
      <c r="O39" s="56"/>
      <c r="P39" s="56"/>
      <c r="Q39" s="56"/>
      <c r="R39" s="56"/>
    </row>
    <row r="40">
      <c r="A40" s="56"/>
      <c r="B40" s="56"/>
      <c r="C40" s="56"/>
      <c r="D40" s="56"/>
      <c r="E40" s="83">
        <f>D39+E38</f>
        <v>136001.39840240261</v>
      </c>
      <c r="F40" s="56"/>
      <c r="G40" s="56"/>
      <c r="H40" s="56"/>
      <c r="I40" s="56"/>
      <c r="J40" s="56"/>
      <c r="K40" s="56"/>
      <c r="L40" s="56"/>
      <c r="M40" s="56"/>
      <c r="N40" s="56">
        <f>J35/G35*100</f>
        <v>589.56666666666672</v>
      </c>
      <c r="O40" s="56"/>
      <c r="P40" s="83">
        <f>R38-C38-E38</f>
        <v>-119455.59999999969</v>
      </c>
      <c r="Q40" s="56"/>
      <c r="R40" s="83">
        <f>R34+R35</f>
        <v>1.0186340659856796e-010</v>
      </c>
    </row>
    <row r="41">
      <c r="A41" s="56"/>
      <c r="B41" s="56"/>
      <c r="C41" s="56"/>
      <c r="D41" s="56"/>
      <c r="E41" s="56"/>
      <c r="F41" s="56"/>
      <c r="G41" s="56"/>
      <c r="H41" s="56"/>
      <c r="I41" s="56"/>
      <c r="J41" s="56"/>
      <c r="K41" s="56"/>
      <c r="L41" s="56"/>
      <c r="M41" s="56"/>
      <c r="N41" s="56"/>
      <c r="O41" s="56"/>
      <c r="P41" s="56"/>
      <c r="Q41" s="56"/>
      <c r="R41" s="56"/>
    </row>
  </sheetData>
  <mergeCells count="2">
    <mergeCell ref="A2:S2"/>
    <mergeCell ref="A39:C39"/>
  </mergeCells>
  <printOptions headings="0" gridLines="0"/>
  <pageMargins left="0.19652799999999998" right="0.11805600000000001" top="0.157639" bottom="0.157639" header="0.51180599999999998" footer="0.51180599999999998"/>
  <pageSetup paperSize="9" scale="65" fitToWidth="1" fitToHeight="1" pageOrder="downThenOver" orientation="landscape" usePrinterDefaults="1" blackAndWhite="0" draft="0" cellComments="none" useFirstPageNumber="0" errors="displayed" horizontalDpi="300" verticalDpi="300" copies="1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view="pageBreakPreview" topLeftCell="A7" zoomScale="85" workbookViewId="0">
      <selection activeCell="U34" activeCellId="0" sqref="U34"/>
    </sheetView>
  </sheetViews>
  <sheetFormatPr defaultColWidth="9.140625" defaultRowHeight="15" customHeight="1"/>
  <cols>
    <col customWidth="1" min="1" max="1" width="21.7109375"/>
    <col customWidth="1" min="2" max="2" width="17.5703125"/>
    <col customWidth="1" min="3" max="3" width="16.85546875"/>
    <col customWidth="1" min="4" max="4" width="17.28515625"/>
    <col customWidth="1" min="5" max="5" width="17"/>
    <col customWidth="1" min="6" max="6" width="20.85546875"/>
    <col customWidth="1" min="7" max="7" width="16.7109375"/>
    <col customWidth="1" min="8" max="8" width="18.28515625"/>
    <col customWidth="1" min="9" max="9" width="17.7109375"/>
    <col customWidth="1" min="10" max="10" width="15.28515625"/>
    <col customWidth="1" min="11" max="11" width="16.42578125"/>
    <col customWidth="1" min="12" max="12" width="15.7109375"/>
    <col customWidth="1" min="13" max="13" width="18.42578125"/>
    <col customWidth="1" min="14" max="14" width="18.7109375"/>
    <col customWidth="1" min="15" max="15" width="19.7109375"/>
    <col customWidth="1" min="16" max="16" width="17"/>
    <col customWidth="1" min="17" max="17" width="0.7109375"/>
    <col customWidth="1" min="18" max="18" width="15.140625"/>
    <col customWidth="1" min="19" max="19" width="14.7109375"/>
    <col customWidth="1" min="20" max="20" width="12.5703125"/>
    <col customWidth="1" min="21" max="21" width="18"/>
  </cols>
  <sheetData>
    <row r="1" ht="53.100000000000001" customHeight="1">
      <c r="A1" s="95" t="s">
        <v>45</v>
      </c>
      <c r="B1" s="95"/>
      <c r="C1" s="95"/>
      <c r="D1" s="95"/>
      <c r="E1" s="95"/>
      <c r="F1" s="95"/>
      <c r="G1" s="95"/>
      <c r="H1" s="95"/>
      <c r="I1" s="95"/>
      <c r="J1" s="95"/>
      <c r="K1" s="95"/>
      <c r="L1" s="95"/>
      <c r="M1" s="95"/>
      <c r="N1" s="95"/>
      <c r="O1" s="95"/>
      <c r="P1" s="95"/>
      <c r="Q1" s="95"/>
      <c r="R1" s="95"/>
      <c r="S1" s="1"/>
      <c r="T1" s="1"/>
    </row>
    <row r="2" ht="28.5" customHeight="1">
      <c r="A2" s="1"/>
      <c r="B2" s="1"/>
      <c r="C2" s="1"/>
      <c r="D2" s="1"/>
      <c r="E2" s="1"/>
      <c r="F2" s="1"/>
      <c r="G2" s="1"/>
      <c r="H2" s="1"/>
      <c r="I2" s="1"/>
      <c r="J2" s="1"/>
      <c r="K2" s="96"/>
      <c r="L2" s="96"/>
      <c r="M2" s="96"/>
      <c r="N2" s="97"/>
      <c r="O2" s="97"/>
      <c r="P2" s="97"/>
      <c r="Q2" s="1"/>
      <c r="R2" s="1"/>
      <c r="S2" s="1"/>
      <c r="T2" s="1"/>
    </row>
    <row r="3" ht="19.5">
      <c r="A3" s="98"/>
      <c r="B3" s="98"/>
      <c r="C3" s="98"/>
      <c r="D3" s="98"/>
      <c r="E3" s="1"/>
      <c r="F3" s="99" t="s">
        <v>46</v>
      </c>
      <c r="G3" s="99" t="s">
        <v>47</v>
      </c>
      <c r="H3" s="99" t="s">
        <v>48</v>
      </c>
      <c r="I3" s="1"/>
      <c r="J3" s="1"/>
      <c r="K3" s="100" t="s">
        <v>46</v>
      </c>
      <c r="L3" s="100" t="s">
        <v>47</v>
      </c>
      <c r="M3" s="100" t="s">
        <v>48</v>
      </c>
      <c r="N3" s="101"/>
      <c r="O3" s="102" t="s">
        <v>49</v>
      </c>
      <c r="P3" s="102" t="s">
        <v>46</v>
      </c>
      <c r="Q3" s="103"/>
      <c r="R3" s="102" t="s">
        <v>47</v>
      </c>
      <c r="S3" s="1"/>
      <c r="T3" s="1"/>
    </row>
    <row r="4" ht="63.950000000000003" customHeight="1">
      <c r="A4" s="104" t="s">
        <v>50</v>
      </c>
      <c r="B4" s="104"/>
      <c r="C4" s="104"/>
      <c r="D4" s="105"/>
      <c r="E4" s="1"/>
      <c r="F4" s="106">
        <f>F5+F6</f>
        <v>134226.5</v>
      </c>
      <c r="G4" s="106">
        <f>G5+G6</f>
        <v>132511.20000000001</v>
      </c>
      <c r="H4" s="106">
        <f>H5+H6</f>
        <v>134289.10000000001</v>
      </c>
      <c r="I4" s="1"/>
      <c r="J4" s="1"/>
      <c r="K4" s="107">
        <v>975330.59999999998</v>
      </c>
      <c r="L4" s="107">
        <v>1067333.2</v>
      </c>
      <c r="M4" s="107">
        <v>1143715.5</v>
      </c>
      <c r="N4" s="108"/>
      <c r="O4" s="107">
        <v>133474.5</v>
      </c>
      <c r="P4" s="107">
        <v>130362.5</v>
      </c>
      <c r="Q4" s="107">
        <f>N3*0.599999999999999%</f>
        <v>0</v>
      </c>
      <c r="R4" s="107">
        <v>130166.7</v>
      </c>
      <c r="S4" s="1"/>
      <c r="T4" s="1"/>
    </row>
    <row r="5" ht="15.75" customHeight="1">
      <c r="A5" s="109" t="s">
        <v>51</v>
      </c>
      <c r="B5" s="109"/>
      <c r="C5" s="109"/>
      <c r="D5" s="109"/>
      <c r="E5" s="1"/>
      <c r="F5" s="110">
        <f>71261.6-1028.2</f>
        <v>70233.400000000009</v>
      </c>
      <c r="G5" s="110">
        <f>70074-1028.2</f>
        <v>69045.800000000003</v>
      </c>
      <c r="H5" s="110">
        <f>69398-1028.2</f>
        <v>68369.800000000003</v>
      </c>
      <c r="I5" s="1"/>
      <c r="J5" s="1"/>
      <c r="K5" s="111"/>
      <c r="L5" s="111"/>
      <c r="M5" s="111"/>
      <c r="N5" s="1"/>
      <c r="O5" s="1"/>
      <c r="P5" s="1"/>
      <c r="Q5" s="1"/>
      <c r="R5" s="1"/>
      <c r="S5" s="1"/>
      <c r="T5" s="1"/>
    </row>
    <row r="6" ht="15.75">
      <c r="A6" s="109" t="s">
        <v>52</v>
      </c>
      <c r="B6" s="109"/>
      <c r="C6" s="109"/>
      <c r="D6" s="109"/>
      <c r="E6" s="1"/>
      <c r="F6" s="112">
        <f>F7+F8</f>
        <v>63993.099999999999</v>
      </c>
      <c r="G6" s="112">
        <f>G7+G8</f>
        <v>63465.400000000001</v>
      </c>
      <c r="H6" s="112">
        <f>H7+H8</f>
        <v>65919.300000000003</v>
      </c>
      <c r="I6" s="1"/>
      <c r="J6" s="1"/>
      <c r="K6" s="113">
        <f>F8/K4*100</f>
        <v>2.0694521426888484</v>
      </c>
      <c r="L6" s="113">
        <f>G8/L4*100</f>
        <v>1.9103687583221434</v>
      </c>
      <c r="M6" s="113">
        <f>H8/M4*100</f>
        <v>1.89120458715476</v>
      </c>
      <c r="N6" s="1"/>
      <c r="O6" s="1"/>
      <c r="P6" s="1"/>
      <c r="Q6" s="1"/>
      <c r="R6" s="1"/>
      <c r="S6" s="1"/>
      <c r="T6" s="1"/>
    </row>
    <row r="7" ht="33" customHeight="1">
      <c r="A7" s="114" t="s">
        <v>53</v>
      </c>
      <c r="B7" s="114"/>
      <c r="C7" s="114"/>
      <c r="D7" s="114"/>
      <c r="E7" s="1"/>
      <c r="F7" s="115">
        <v>43809.099999999999</v>
      </c>
      <c r="G7" s="115">
        <v>43075.400000000001</v>
      </c>
      <c r="H7" s="115">
        <v>44289.300000000003</v>
      </c>
      <c r="I7" s="116"/>
      <c r="J7" s="116"/>
      <c r="K7" s="117"/>
      <c r="L7" s="117"/>
      <c r="M7" s="117"/>
      <c r="N7" s="118"/>
      <c r="O7" s="118"/>
      <c r="P7" s="118"/>
      <c r="Q7" s="1"/>
      <c r="R7" s="1"/>
      <c r="S7" s="1"/>
      <c r="T7" s="1"/>
    </row>
    <row r="8" ht="30" customHeight="1">
      <c r="A8" s="116" t="s">
        <v>54</v>
      </c>
      <c r="B8" s="116"/>
      <c r="C8" s="116"/>
      <c r="D8" s="116"/>
      <c r="E8" s="119">
        <v>2.2999999999999998</v>
      </c>
      <c r="F8" s="120">
        <f>20184</f>
        <v>20184</v>
      </c>
      <c r="G8" s="120">
        <f>20390</f>
        <v>20390</v>
      </c>
      <c r="H8" s="120">
        <f>20630+1000</f>
        <v>21630</v>
      </c>
      <c r="I8" s="121"/>
      <c r="J8" s="122"/>
      <c r="K8" s="117"/>
      <c r="L8" s="117"/>
      <c r="M8" s="117"/>
      <c r="N8" s="123"/>
      <c r="O8" s="1"/>
      <c r="P8" s="1"/>
      <c r="Q8" s="97"/>
      <c r="R8" s="124"/>
      <c r="S8" s="1"/>
      <c r="T8" s="1"/>
    </row>
    <row r="9" ht="15.75" customHeight="1">
      <c r="A9" s="116"/>
      <c r="B9" s="116"/>
      <c r="C9" s="116"/>
      <c r="D9" s="116"/>
      <c r="E9" s="116"/>
      <c r="F9" s="116"/>
      <c r="G9" s="125"/>
      <c r="H9" s="125"/>
      <c r="I9" s="125"/>
      <c r="J9" s="125"/>
      <c r="K9" s="126" t="s">
        <v>55</v>
      </c>
      <c r="L9" s="126"/>
      <c r="M9" s="126"/>
      <c r="N9" s="1"/>
      <c r="O9" s="1"/>
      <c r="P9" s="1"/>
      <c r="Q9" s="97"/>
      <c r="R9" s="124"/>
      <c r="S9" s="1"/>
      <c r="T9" s="1"/>
    </row>
    <row r="10" ht="36.75" customHeight="1">
      <c r="A10" s="127" t="s">
        <v>56</v>
      </c>
      <c r="B10" s="127"/>
      <c r="C10" s="127"/>
      <c r="D10" s="127"/>
      <c r="E10" s="1"/>
      <c r="F10" s="128">
        <f>(D22+F6)/D22</f>
        <v>1.1971316106280181</v>
      </c>
      <c r="G10" s="128">
        <f>(E22+G6)/E22</f>
        <v>1.1871675227982261</v>
      </c>
      <c r="H10" s="128">
        <f>(F22+H6)/F22</f>
        <v>1.1926324888428601</v>
      </c>
      <c r="I10" s="129"/>
      <c r="J10" s="1"/>
      <c r="K10" s="123">
        <f>F10*90%</f>
        <v>1.0774184495652164</v>
      </c>
      <c r="L10" s="123">
        <f>G10*90%</f>
        <v>1.0684507705184036</v>
      </c>
      <c r="M10" s="123">
        <f>H10*90%</f>
        <v>1.0733692399585741</v>
      </c>
      <c r="N10" s="1"/>
      <c r="O10" s="130"/>
      <c r="P10" s="131"/>
      <c r="Q10" s="97"/>
      <c r="R10" s="124"/>
      <c r="S10" s="1"/>
      <c r="T10" s="1"/>
    </row>
    <row r="11">
      <c r="A11" s="1"/>
      <c r="B11" s="109"/>
      <c r="C11" s="1"/>
      <c r="D11" s="109"/>
      <c r="E11" s="109"/>
      <c r="F11" s="109"/>
      <c r="G11" s="109"/>
      <c r="H11" s="109"/>
      <c r="I11" s="109"/>
      <c r="J11" s="109"/>
      <c r="K11" s="109"/>
      <c r="L11" s="109"/>
      <c r="M11" s="1"/>
      <c r="N11" s="1"/>
      <c r="O11" s="131"/>
      <c r="P11" s="131"/>
      <c r="Q11" s="97"/>
      <c r="R11" s="124"/>
      <c r="S11" s="1"/>
      <c r="T11" s="1"/>
      <c r="U11" s="132"/>
      <c r="V11" s="132"/>
    </row>
    <row r="12" ht="30.75" customHeight="1">
      <c r="A12" s="133" t="s">
        <v>3</v>
      </c>
      <c r="B12" s="134" t="s">
        <v>57</v>
      </c>
      <c r="C12" s="134" t="s">
        <v>58</v>
      </c>
      <c r="D12" s="135" t="s">
        <v>59</v>
      </c>
      <c r="E12" s="135"/>
      <c r="F12" s="135"/>
      <c r="G12" s="136" t="s">
        <v>60</v>
      </c>
      <c r="H12" s="136"/>
      <c r="I12" s="136"/>
      <c r="J12" s="137" t="s">
        <v>61</v>
      </c>
      <c r="K12" s="137"/>
      <c r="L12" s="137"/>
      <c r="M12" s="138"/>
      <c r="N12" s="138"/>
      <c r="O12" s="138"/>
      <c r="P12" s="138"/>
      <c r="Q12" s="1"/>
      <c r="R12" s="1"/>
      <c r="S12" s="1"/>
      <c r="T12" s="1"/>
      <c r="U12" s="132"/>
      <c r="V12" s="132"/>
    </row>
    <row r="13" ht="27" customHeight="1">
      <c r="A13" s="133"/>
      <c r="B13" s="134"/>
      <c r="C13" s="134"/>
      <c r="D13" s="135" t="s">
        <v>46</v>
      </c>
      <c r="E13" s="135" t="s">
        <v>47</v>
      </c>
      <c r="F13" s="135" t="s">
        <v>48</v>
      </c>
      <c r="G13" s="135" t="s">
        <v>46</v>
      </c>
      <c r="H13" s="135" t="s">
        <v>47</v>
      </c>
      <c r="I13" s="135" t="s">
        <v>48</v>
      </c>
      <c r="J13" s="135" t="s">
        <v>46</v>
      </c>
      <c r="K13" s="135" t="s">
        <v>47</v>
      </c>
      <c r="L13" s="135" t="s">
        <v>48</v>
      </c>
      <c r="M13" s="1"/>
      <c r="N13" s="139"/>
      <c r="O13" s="1"/>
      <c r="P13" s="1"/>
      <c r="Q13" s="1"/>
      <c r="R13" s="1"/>
      <c r="S13" s="1"/>
      <c r="T13" s="1"/>
      <c r="U13" s="132"/>
      <c r="V13" s="132"/>
    </row>
    <row r="14">
      <c r="A14" s="140">
        <v>1</v>
      </c>
      <c r="B14" s="133">
        <v>2</v>
      </c>
      <c r="C14" s="133">
        <v>3</v>
      </c>
      <c r="D14" s="133">
        <v>4</v>
      </c>
      <c r="E14" s="133">
        <v>5</v>
      </c>
      <c r="F14" s="133">
        <v>6</v>
      </c>
      <c r="G14" s="133">
        <v>7</v>
      </c>
      <c r="H14" s="133">
        <v>8</v>
      </c>
      <c r="I14" s="133">
        <v>9</v>
      </c>
      <c r="J14" s="133">
        <v>10</v>
      </c>
      <c r="K14" s="133">
        <v>11</v>
      </c>
      <c r="L14" s="133">
        <v>12</v>
      </c>
      <c r="M14" s="1"/>
      <c r="N14" s="116"/>
      <c r="O14" s="1"/>
      <c r="P14" s="1"/>
      <c r="Q14" s="1"/>
      <c r="R14" s="1"/>
      <c r="S14" s="1"/>
      <c r="T14" s="1"/>
      <c r="U14" s="141"/>
      <c r="V14" s="141"/>
    </row>
    <row r="15">
      <c r="A15" s="142" t="s">
        <v>20</v>
      </c>
      <c r="B15" s="143">
        <v>19861</v>
      </c>
      <c r="C15" s="143"/>
      <c r="D15" s="144">
        <v>210882.29999999999</v>
      </c>
      <c r="E15" s="144">
        <v>220110.70000000001</v>
      </c>
      <c r="F15" s="144">
        <v>222934.89999999999</v>
      </c>
      <c r="G15" s="145">
        <v>174973</v>
      </c>
      <c r="H15" s="145">
        <v>176536</v>
      </c>
      <c r="I15" s="145">
        <v>178114</v>
      </c>
      <c r="J15" s="146">
        <f>(G15/B15)/(G22/B22)</f>
        <v>0.90869592751615469</v>
      </c>
      <c r="K15" s="146">
        <f>(H15/B15)/(H22/B22)</f>
        <v>0.90856027056931132</v>
      </c>
      <c r="L15" s="146">
        <f>(I15/B15)/(I22/B22)</f>
        <v>0.90841895466455336</v>
      </c>
      <c r="M15" s="1"/>
      <c r="N15" s="147"/>
      <c r="O15" s="1"/>
      <c r="P15" s="1"/>
      <c r="Q15" s="1"/>
      <c r="R15" s="148"/>
      <c r="S15" s="1"/>
      <c r="T15" s="1"/>
      <c r="U15" s="149"/>
      <c r="V15" s="149"/>
    </row>
    <row r="16">
      <c r="A16" s="142" t="s">
        <v>22</v>
      </c>
      <c r="B16" s="143">
        <v>1449</v>
      </c>
      <c r="C16" s="143"/>
      <c r="D16" s="144">
        <v>27267.799999999999</v>
      </c>
      <c r="E16" s="144">
        <v>27594.099999999999</v>
      </c>
      <c r="F16" s="144">
        <v>26521</v>
      </c>
      <c r="G16" s="145">
        <v>25507</v>
      </c>
      <c r="H16" s="145">
        <v>25746</v>
      </c>
      <c r="I16" s="145">
        <v>25987</v>
      </c>
      <c r="J16" s="146">
        <f>(G16/B16)/(G22/B22)</f>
        <v>1.8156814295235724</v>
      </c>
      <c r="K16" s="146">
        <f>(H16/B16)/(H22/B22)</f>
        <v>1.8161969874035393</v>
      </c>
      <c r="L16" s="146">
        <f>(I16/B16)/(I22/B22)</f>
        <v>1.8166740091786207</v>
      </c>
      <c r="M16" s="1"/>
      <c r="N16" s="147"/>
      <c r="O16" s="1"/>
      <c r="P16" s="1"/>
      <c r="Q16" s="1"/>
      <c r="R16" s="148"/>
      <c r="S16" s="1"/>
      <c r="T16" s="1"/>
      <c r="U16" s="149"/>
      <c r="V16" s="149"/>
    </row>
    <row r="17">
      <c r="A17" s="142" t="s">
        <v>24</v>
      </c>
      <c r="B17" s="143">
        <v>1485</v>
      </c>
      <c r="C17" s="143"/>
      <c r="D17" s="144">
        <v>7164.8999999999996</v>
      </c>
      <c r="E17" s="144">
        <v>8353.2999999999993</v>
      </c>
      <c r="F17" s="144">
        <v>8563.6000000000004</v>
      </c>
      <c r="G17" s="145">
        <v>2954</v>
      </c>
      <c r="H17" s="145">
        <v>2981</v>
      </c>
      <c r="I17" s="145">
        <v>3009</v>
      </c>
      <c r="J17" s="146">
        <f>(G17/B17)/(G22/B22)</f>
        <v>0.20517889772215442</v>
      </c>
      <c r="K17" s="146">
        <f>(H17/B17)/(H22/B22)</f>
        <v>0.2051904263637169</v>
      </c>
      <c r="L17" s="146">
        <f>(I17/B17)/(I22/B22)</f>
        <v>0.20525085551460429</v>
      </c>
      <c r="M17" s="1"/>
      <c r="N17" s="147"/>
      <c r="O17" s="1"/>
      <c r="P17" s="1"/>
      <c r="Q17" s="1"/>
      <c r="R17" s="148"/>
      <c r="S17" s="1"/>
      <c r="T17" s="1"/>
      <c r="U17" s="149"/>
      <c r="V17" s="149"/>
    </row>
    <row r="18">
      <c r="A18" s="142" t="s">
        <v>26</v>
      </c>
      <c r="B18" s="143">
        <v>1262</v>
      </c>
      <c r="C18" s="143"/>
      <c r="D18" s="144">
        <v>24957.200000000001</v>
      </c>
      <c r="E18" s="144">
        <v>25693</v>
      </c>
      <c r="F18" s="144">
        <v>26004.099999999999</v>
      </c>
      <c r="G18" s="145">
        <v>23943</v>
      </c>
      <c r="H18" s="145">
        <v>24167</v>
      </c>
      <c r="I18" s="145">
        <v>24393</v>
      </c>
      <c r="J18" s="146">
        <f>(G18/B18)/(G22/B22)</f>
        <v>1.9568965412124559</v>
      </c>
      <c r="K18" s="146">
        <f>(H18/B18)/(H22/B22)</f>
        <v>1.9574242243636373</v>
      </c>
      <c r="L18" s="146">
        <f>(I18/B18)/(I22/B22)</f>
        <v>1.9579207217420895</v>
      </c>
      <c r="M18" s="1"/>
      <c r="N18" s="147"/>
      <c r="O18" s="1"/>
      <c r="P18" s="1"/>
      <c r="Q18" s="1"/>
      <c r="R18" s="148"/>
      <c r="S18" s="1"/>
      <c r="T18" s="1"/>
      <c r="U18" s="149"/>
      <c r="V18" s="149"/>
    </row>
    <row r="19">
      <c r="A19" s="142" t="s">
        <v>28</v>
      </c>
      <c r="B19" s="143">
        <v>1463</v>
      </c>
      <c r="C19" s="143"/>
      <c r="D19" s="144">
        <v>7694.6999999999998</v>
      </c>
      <c r="E19" s="144">
        <v>9047</v>
      </c>
      <c r="F19" s="144">
        <v>9289</v>
      </c>
      <c r="G19" s="145">
        <v>3335</v>
      </c>
      <c r="H19" s="145">
        <v>3365</v>
      </c>
      <c r="I19" s="145">
        <v>3397</v>
      </c>
      <c r="J19" s="146">
        <f>(G19/B19)/(G22/B22)</f>
        <v>0.23512573553116961</v>
      </c>
      <c r="K19" s="146">
        <f>(H19/B19)/(H22/B22)</f>
        <v>0.23510524281950471</v>
      </c>
      <c r="L19" s="146">
        <f>(I19/B19)/(I22/B22)</f>
        <v>0.23520170337288873</v>
      </c>
      <c r="M19" s="1"/>
      <c r="N19" s="147"/>
      <c r="O19" s="1"/>
      <c r="P19" s="1"/>
      <c r="Q19" s="1"/>
      <c r="R19" s="148"/>
      <c r="S19" s="1"/>
      <c r="T19" s="1"/>
      <c r="U19" s="149"/>
      <c r="V19" s="149"/>
    </row>
    <row r="20">
      <c r="A20" s="142" t="s">
        <v>30</v>
      </c>
      <c r="B20" s="143">
        <v>1365</v>
      </c>
      <c r="C20" s="143"/>
      <c r="D20" s="144">
        <v>21540.400000000001</v>
      </c>
      <c r="E20" s="144">
        <v>22171.200000000001</v>
      </c>
      <c r="F20" s="144">
        <v>22432.900000000001</v>
      </c>
      <c r="G20" s="145">
        <v>20316</v>
      </c>
      <c r="H20" s="145">
        <v>20507</v>
      </c>
      <c r="I20" s="145">
        <v>20699</v>
      </c>
      <c r="J20" s="146">
        <f>(G20/B20)/(G22/B22)</f>
        <v>1.5351619860803591</v>
      </c>
      <c r="K20" s="146">
        <f>(H20/B20)/(H22/B22)</f>
        <v>1.5356457832596684</v>
      </c>
      <c r="L20" s="146">
        <f>(I20/B20)/(I22/B22)</f>
        <v>1.5360521306826136</v>
      </c>
      <c r="M20" s="1"/>
      <c r="N20" s="147"/>
      <c r="O20" s="1"/>
      <c r="P20" s="1"/>
      <c r="Q20" s="1"/>
      <c r="R20" s="148"/>
      <c r="S20" s="1"/>
      <c r="T20" s="1"/>
      <c r="U20" s="149"/>
      <c r="V20" s="149"/>
    </row>
    <row r="21">
      <c r="A21" s="142" t="s">
        <v>32</v>
      </c>
      <c r="B21" s="143">
        <v>1401</v>
      </c>
      <c r="C21" s="143"/>
      <c r="D21" s="144">
        <v>25113.900000000001</v>
      </c>
      <c r="E21" s="144">
        <v>26114.099999999999</v>
      </c>
      <c r="F21" s="144">
        <v>26456.900000000001</v>
      </c>
      <c r="G21" s="145">
        <v>23207</v>
      </c>
      <c r="H21" s="145">
        <v>23424</v>
      </c>
      <c r="I21" s="145">
        <v>23644</v>
      </c>
      <c r="J21" s="146">
        <f>(G21/B21)/(G22/B22)</f>
        <v>1.7085571962974231</v>
      </c>
      <c r="K21" s="146">
        <f>(H21/B21)/(H22/B22)</f>
        <v>1.709009573721459</v>
      </c>
      <c r="L21" s="146">
        <f>(I21/B21)/(I22/B22)</f>
        <v>1.7095116205663632</v>
      </c>
      <c r="M21" s="1"/>
      <c r="N21" s="147"/>
      <c r="O21" s="1"/>
      <c r="P21" s="1"/>
      <c r="Q21" s="1"/>
      <c r="R21" s="148"/>
      <c r="S21" s="1"/>
      <c r="T21" s="1"/>
      <c r="U21" s="149"/>
      <c r="V21" s="149"/>
    </row>
    <row r="22">
      <c r="A22" s="150" t="s">
        <v>33</v>
      </c>
      <c r="B22" s="151">
        <f>B15+B16+B17+B18+B19+B20+B21</f>
        <v>28286</v>
      </c>
      <c r="C22" s="152">
        <f>B22/7</f>
        <v>4040.8571428571427</v>
      </c>
      <c r="D22" s="153">
        <f>D15+D16+D17+D18+D19+D20+D21</f>
        <v>324621.20000000001</v>
      </c>
      <c r="E22" s="153">
        <f>E15+E16+E17+E18+E19+E20+E21</f>
        <v>339083.39999999997</v>
      </c>
      <c r="F22" s="153">
        <f>SUM(F15:F21)</f>
        <v>342202.40000000002</v>
      </c>
      <c r="G22" s="153">
        <f>SUM(G15:G21)</f>
        <v>274235</v>
      </c>
      <c r="H22" s="153">
        <f>SUM(H15:H21)</f>
        <v>276726</v>
      </c>
      <c r="I22" s="153">
        <f>SUM(I15:I21)</f>
        <v>279243</v>
      </c>
      <c r="J22" s="153"/>
      <c r="K22" s="153"/>
      <c r="L22" s="154"/>
      <c r="M22" s="1"/>
      <c r="N22" s="155"/>
      <c r="O22" s="1"/>
      <c r="P22" s="1"/>
      <c r="Q22" s="1"/>
      <c r="R22" s="156"/>
      <c r="S22" s="1"/>
      <c r="T22" s="1"/>
      <c r="U22" s="157"/>
      <c r="V22" s="157"/>
    </row>
    <row r="23">
      <c r="A23" s="1"/>
      <c r="B23" s="158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32"/>
      <c r="V23" s="132"/>
      <c r="W23" s="132"/>
    </row>
    <row r="24" ht="15" customHeight="1">
      <c r="A24" s="72"/>
      <c r="B24" s="159" t="s">
        <v>46</v>
      </c>
      <c r="C24" s="159"/>
      <c r="D24" s="159"/>
      <c r="E24" s="159"/>
      <c r="F24" s="159"/>
      <c r="G24" s="159" t="s">
        <v>47</v>
      </c>
      <c r="H24" s="159"/>
      <c r="I24" s="159"/>
      <c r="J24" s="159"/>
      <c r="K24" s="159"/>
      <c r="L24" s="159" t="s">
        <v>48</v>
      </c>
      <c r="M24" s="159"/>
      <c r="N24" s="159"/>
      <c r="O24" s="159"/>
      <c r="P24" s="159"/>
      <c r="Q24" s="1"/>
      <c r="R24" s="159">
        <v>2026</v>
      </c>
      <c r="S24" s="159">
        <v>2027</v>
      </c>
      <c r="T24" s="159">
        <v>2028</v>
      </c>
      <c r="U24" s="132"/>
      <c r="V24" s="132"/>
      <c r="W24" s="132"/>
    </row>
    <row r="25" ht="15.75" customHeight="1">
      <c r="A25" s="133" t="s">
        <v>3</v>
      </c>
      <c r="B25" s="134" t="s">
        <v>62</v>
      </c>
      <c r="C25" s="134" t="s">
        <v>63</v>
      </c>
      <c r="D25" s="14" t="s">
        <v>64</v>
      </c>
      <c r="E25" s="134" t="s">
        <v>65</v>
      </c>
      <c r="F25" s="160" t="s">
        <v>66</v>
      </c>
      <c r="G25" s="134" t="s">
        <v>62</v>
      </c>
      <c r="H25" s="134" t="s">
        <v>67</v>
      </c>
      <c r="I25" s="161" t="s">
        <v>64</v>
      </c>
      <c r="J25" s="134" t="s">
        <v>65</v>
      </c>
      <c r="K25" s="160" t="s">
        <v>68</v>
      </c>
      <c r="L25" s="134" t="s">
        <v>62</v>
      </c>
      <c r="M25" s="134" t="s">
        <v>67</v>
      </c>
      <c r="N25" s="161" t="s">
        <v>64</v>
      </c>
      <c r="O25" s="134" t="s">
        <v>69</v>
      </c>
      <c r="P25" s="160" t="s">
        <v>66</v>
      </c>
      <c r="Q25" s="114"/>
      <c r="R25" s="133" t="s">
        <v>70</v>
      </c>
      <c r="S25" s="133" t="s">
        <v>70</v>
      </c>
      <c r="T25" s="133" t="s">
        <v>70</v>
      </c>
      <c r="U25" s="132"/>
      <c r="V25" s="132"/>
    </row>
    <row r="26" ht="72.75" customHeight="1">
      <c r="A26" s="133"/>
      <c r="B26" s="134"/>
      <c r="C26" s="134"/>
      <c r="D26" s="162" t="s">
        <v>71</v>
      </c>
      <c r="E26" s="134"/>
      <c r="F26" s="160"/>
      <c r="G26" s="134"/>
      <c r="H26" s="134"/>
      <c r="I26" s="160" t="s">
        <v>71</v>
      </c>
      <c r="J26" s="134"/>
      <c r="K26" s="160"/>
      <c r="L26" s="134"/>
      <c r="M26" s="134"/>
      <c r="N26" s="160" t="s">
        <v>71</v>
      </c>
      <c r="O26" s="134"/>
      <c r="P26" s="160"/>
      <c r="Q26" s="114"/>
      <c r="R26" s="133"/>
      <c r="S26" s="133"/>
      <c r="T26" s="133"/>
      <c r="U26" s="132"/>
      <c r="V26" s="132"/>
    </row>
    <row r="27" ht="16.5" customHeight="1">
      <c r="A27" s="140">
        <v>1</v>
      </c>
      <c r="B27" s="133">
        <v>2</v>
      </c>
      <c r="C27" s="140">
        <v>3</v>
      </c>
      <c r="D27" s="140" t="s">
        <v>72</v>
      </c>
      <c r="E27" s="140">
        <v>4</v>
      </c>
      <c r="F27" s="140">
        <v>5</v>
      </c>
      <c r="G27" s="140">
        <v>6</v>
      </c>
      <c r="H27" s="133">
        <v>7</v>
      </c>
      <c r="I27" s="163" t="s">
        <v>73</v>
      </c>
      <c r="J27" s="133">
        <v>8</v>
      </c>
      <c r="K27" s="133">
        <v>9</v>
      </c>
      <c r="L27" s="133">
        <v>10</v>
      </c>
      <c r="M27" s="133">
        <v>11</v>
      </c>
      <c r="N27" s="133" t="s">
        <v>74</v>
      </c>
      <c r="O27" s="133">
        <v>12</v>
      </c>
      <c r="P27" s="133">
        <v>13</v>
      </c>
      <c r="Q27" s="116"/>
      <c r="R27" s="133">
        <v>14</v>
      </c>
      <c r="S27" s="140">
        <v>15</v>
      </c>
      <c r="T27" s="140">
        <v>16</v>
      </c>
      <c r="U27" s="141"/>
      <c r="V27" s="141"/>
    </row>
    <row r="28" ht="15.75">
      <c r="A28" s="164" t="s">
        <v>20</v>
      </c>
      <c r="B28" s="165">
        <f>(D22/B22)*(F10-H40)*E40*B15*0</f>
        <v>0</v>
      </c>
      <c r="C28" s="165">
        <f>F6*B28/B35</f>
        <v>0</v>
      </c>
      <c r="D28" s="165">
        <f>F7*C28/C35</f>
        <v>0</v>
      </c>
      <c r="E28" s="166">
        <f>F5*B15/B22</f>
        <v>49314.344813688753</v>
      </c>
      <c r="F28" s="167">
        <f>C28+E28</f>
        <v>49314.344813688753</v>
      </c>
      <c r="G28" s="165">
        <f>(E22/B22)*(G10-I40)*E40*B15*0</f>
        <v>0</v>
      </c>
      <c r="H28" s="168">
        <f>G6*G28/G35</f>
        <v>0</v>
      </c>
      <c r="I28" s="168">
        <f>G7*G28/G35</f>
        <v>0</v>
      </c>
      <c r="J28" s="169">
        <f>G5*B15/B22</f>
        <v>48480.472099271719</v>
      </c>
      <c r="K28" s="170">
        <f>H28+J28</f>
        <v>48480.472099271719</v>
      </c>
      <c r="L28" s="165">
        <f>(F22/B22)*(H10-J40)*E40*B15*0</f>
        <v>0</v>
      </c>
      <c r="M28" s="168">
        <f>H6*L28/L35</f>
        <v>0</v>
      </c>
      <c r="N28" s="165">
        <f>H7*L28/L35</f>
        <v>0</v>
      </c>
      <c r="O28" s="171">
        <f>H5*B15/B22</f>
        <v>48005.819055363077</v>
      </c>
      <c r="P28" s="170">
        <f t="shared" ref="P28:P34" si="30">M28+O28</f>
        <v>48005.819055363077</v>
      </c>
      <c r="Q28" s="172"/>
      <c r="R28" s="173">
        <f t="shared" ref="R28:R35" si="31">C28-D28</f>
        <v>0</v>
      </c>
      <c r="S28" s="174">
        <f t="shared" ref="S28:S35" si="32">H28-I28</f>
        <v>0</v>
      </c>
      <c r="T28" s="174">
        <f t="shared" ref="T28:T35" si="33">M28-N28</f>
        <v>0</v>
      </c>
      <c r="U28" s="175"/>
      <c r="V28" s="175"/>
    </row>
    <row r="29" ht="15.75">
      <c r="A29" s="164" t="s">
        <v>22</v>
      </c>
      <c r="B29" s="165">
        <f>(D22/B22)*(F10-H41)*E41*B16*0</f>
        <v>0</v>
      </c>
      <c r="C29" s="165">
        <f>F6*B29/B35</f>
        <v>0</v>
      </c>
      <c r="D29" s="165">
        <f>F7*B29/B35</f>
        <v>0</v>
      </c>
      <c r="E29" s="166">
        <f>F5*B16/B22</f>
        <v>3597.8291946545996</v>
      </c>
      <c r="F29" s="167">
        <f t="shared" ref="F29:F35" si="34">C29+E29</f>
        <v>3597.8291946545996</v>
      </c>
      <c r="G29" s="165">
        <f>(E22/B22)*(G10-I41)*E41*B16*0</f>
        <v>0</v>
      </c>
      <c r="H29" s="168">
        <f>G6*G29/G35</f>
        <v>0</v>
      </c>
      <c r="I29" s="168">
        <f>G7*G29/G35</f>
        <v>0</v>
      </c>
      <c r="J29" s="169">
        <f>G5*B16/B22</f>
        <v>3536.9923000777771</v>
      </c>
      <c r="K29" s="170">
        <f t="shared" ref="K29:K34" si="35">H29+J29</f>
        <v>3536.9923000777771</v>
      </c>
      <c r="L29" s="165">
        <f>(F22/B22)*(H10-J41)*E41*B16*0</f>
        <v>0</v>
      </c>
      <c r="M29" s="168">
        <f>H6*L29/L35</f>
        <v>0</v>
      </c>
      <c r="N29" s="165">
        <f>H7*L29/L35</f>
        <v>0</v>
      </c>
      <c r="O29" s="171">
        <f>H5*B16/B22</f>
        <v>3502.3630135049143</v>
      </c>
      <c r="P29" s="170">
        <f t="shared" si="30"/>
        <v>3502.3630135049143</v>
      </c>
      <c r="Q29" s="172"/>
      <c r="R29" s="176">
        <f t="shared" si="31"/>
        <v>0</v>
      </c>
      <c r="S29" s="176">
        <f t="shared" si="32"/>
        <v>0</v>
      </c>
      <c r="T29" s="176">
        <f t="shared" si="33"/>
        <v>0</v>
      </c>
      <c r="U29" s="175"/>
      <c r="V29" s="175"/>
    </row>
    <row r="30" ht="15.75">
      <c r="A30" s="164" t="s">
        <v>24</v>
      </c>
      <c r="B30" s="165">
        <f>(D22/B22)*(F10-H42)*E42*B17</f>
        <v>36624.901452383136</v>
      </c>
      <c r="C30" s="165">
        <f>F6*B30/B35</f>
        <v>29372.86598623305</v>
      </c>
      <c r="D30" s="165">
        <f>F7*B30/B35</f>
        <v>20108.3995505372</v>
      </c>
      <c r="E30" s="166">
        <f>F5*B17/B22</f>
        <v>3687.2162553913604</v>
      </c>
      <c r="F30" s="167">
        <f t="shared" si="34"/>
        <v>33060.082241624412</v>
      </c>
      <c r="G30" s="165">
        <f>(E22/B22)*(G10-I42)*E42*B17</f>
        <v>37907.550131857068</v>
      </c>
      <c r="H30" s="168">
        <f>G6*G30/G35</f>
        <v>29297.124801448659</v>
      </c>
      <c r="I30" s="177">
        <f>G7*G30/G35</f>
        <v>19884.620118557854</v>
      </c>
      <c r="J30" s="169">
        <f>G5*B17/B22</f>
        <v>3624.8678851728769</v>
      </c>
      <c r="K30" s="170">
        <f t="shared" si="35"/>
        <v>32921.992686621539</v>
      </c>
      <c r="L30" s="165">
        <f>(F22/B22)*(H10-J42)*E42*B17</f>
        <v>38448.227534240192</v>
      </c>
      <c r="M30" s="168">
        <f>H6*L30/L35</f>
        <v>30342.85428719339</v>
      </c>
      <c r="N30" s="165">
        <f>H7*L30/L35</f>
        <v>20386.499498353201</v>
      </c>
      <c r="O30" s="171">
        <f>H5*B17/B22</f>
        <v>3589.3782436541046</v>
      </c>
      <c r="P30" s="170">
        <f t="shared" si="30"/>
        <v>33932.232530847497</v>
      </c>
      <c r="Q30" s="172"/>
      <c r="R30" s="176">
        <f t="shared" si="31"/>
        <v>9264.4664356958492</v>
      </c>
      <c r="S30" s="176">
        <f t="shared" si="32"/>
        <v>9412.5046828908053</v>
      </c>
      <c r="T30" s="176">
        <f t="shared" si="33"/>
        <v>9956.3547888401881</v>
      </c>
      <c r="U30" s="175"/>
      <c r="V30" s="175"/>
    </row>
    <row r="31" ht="15.75">
      <c r="A31" s="164" t="s">
        <v>26</v>
      </c>
      <c r="B31" s="165">
        <f>(D22/B22)*(F10-H43)*E43*B18</f>
        <v>494.30536058880108</v>
      </c>
      <c r="C31" s="165">
        <f>F6*B31/B35</f>
        <v>396.42878307066991</v>
      </c>
      <c r="D31" s="165">
        <f>F7*B31/B35</f>
        <v>271.3915750357661</v>
      </c>
      <c r="E31" s="166">
        <f>F5*B18/B22</f>
        <v>3133.5130736053175</v>
      </c>
      <c r="F31" s="167">
        <f t="shared" si="34"/>
        <v>3529.9418566759873</v>
      </c>
      <c r="G31" s="165">
        <f>(E22/B22)*(G10-I43)*E43*B18</f>
        <v>257.6368520248883</v>
      </c>
      <c r="H31" s="168">
        <f>G6*G31/G35</f>
        <v>199.11650795080649</v>
      </c>
      <c r="I31" s="177">
        <f>G7*G31/G35</f>
        <v>135.14486990681806</v>
      </c>
      <c r="J31" s="169">
        <f>G5*B18/B22</f>
        <v>3080.5274552782298</v>
      </c>
      <c r="K31" s="170">
        <f t="shared" si="35"/>
        <v>3279.6439632290362</v>
      </c>
      <c r="L31" s="165">
        <f>(F22/B22)*(H10-J43)*E43*B18</f>
        <v>391.19565274479288</v>
      </c>
      <c r="M31" s="168">
        <f>H6*L31/L35</f>
        <v>308.72665530414622</v>
      </c>
      <c r="N31" s="165">
        <f>H7*L31/L35</f>
        <v>207.42464581331905</v>
      </c>
      <c r="O31" s="171">
        <f>H5*B18/B22</f>
        <v>3050.3672346743974</v>
      </c>
      <c r="P31" s="170">
        <f t="shared" si="30"/>
        <v>3359.0938899785438</v>
      </c>
      <c r="Q31" s="172"/>
      <c r="R31" s="176">
        <f t="shared" si="31"/>
        <v>125.03720803490381</v>
      </c>
      <c r="S31" s="176">
        <f t="shared" si="32"/>
        <v>63.971638043988435</v>
      </c>
      <c r="T31" s="176">
        <f t="shared" si="33"/>
        <v>101.30200949082717</v>
      </c>
      <c r="U31" s="175"/>
      <c r="V31" s="175"/>
    </row>
    <row r="32" ht="15.75">
      <c r="A32" s="164" t="s">
        <v>28</v>
      </c>
      <c r="B32" s="165">
        <f>(D22/B22)*(F10-H44)*E44*B19</f>
        <v>37234.440629329918</v>
      </c>
      <c r="C32" s="165">
        <f>F6*B32/B35</f>
        <v>29861.711330461316</v>
      </c>
      <c r="D32" s="165">
        <f>F7*B32/B35</f>
        <v>20443.058671127244</v>
      </c>
      <c r="E32" s="166">
        <f>F5*B19/B22</f>
        <v>3632.5908293855623</v>
      </c>
      <c r="F32" s="167">
        <f t="shared" si="34"/>
        <v>33494.302159846877</v>
      </c>
      <c r="G32" s="165">
        <f>(E22/B22)*(G10-I44)*E44*B19</f>
        <v>38535.589050586517</v>
      </c>
      <c r="H32" s="168">
        <f>G6*G32/G35</f>
        <v>29782.509230623913</v>
      </c>
      <c r="I32" s="177">
        <f>G7*G32/G35</f>
        <v>20214.061490399763</v>
      </c>
      <c r="J32" s="169">
        <f>G5*B19/B22</f>
        <v>3571.1661387258719</v>
      </c>
      <c r="K32" s="170">
        <f t="shared" si="35"/>
        <v>33353.675369349789</v>
      </c>
      <c r="L32" s="165">
        <f>(F22/B22)*(H10-J44)*E44*B19</f>
        <v>39086.525347235249</v>
      </c>
      <c r="M32" s="168">
        <f>H6*L32/L35</f>
        <v>30846.590838229331</v>
      </c>
      <c r="N32" s="165">
        <f>H7*L32/L35</f>
        <v>20724.945738373895</v>
      </c>
      <c r="O32" s="171">
        <f>H5*B19/B22</f>
        <v>3536.2022696740437</v>
      </c>
      <c r="P32" s="170">
        <f t="shared" si="30"/>
        <v>34382.793107903373</v>
      </c>
      <c r="Q32" s="172"/>
      <c r="R32" s="176">
        <f t="shared" si="31"/>
        <v>9418.6526593340714</v>
      </c>
      <c r="S32" s="176">
        <f t="shared" si="32"/>
        <v>9568.44774022415</v>
      </c>
      <c r="T32" s="176">
        <f t="shared" si="33"/>
        <v>10121.645099855436</v>
      </c>
      <c r="U32" s="175"/>
      <c r="V32" s="175"/>
    </row>
    <row r="33" ht="15.75">
      <c r="A33" s="164" t="s">
        <v>30</v>
      </c>
      <c r="B33" s="165">
        <f>(D22/B22)*(F10-H45)*E45*B20</f>
        <v>5439.0762990927342</v>
      </c>
      <c r="C33" s="165">
        <f>F6*B33/B35</f>
        <v>4362.0939002349678</v>
      </c>
      <c r="D33" s="165">
        <f>F7*B33/B35</f>
        <v>2986.2502032997891</v>
      </c>
      <c r="E33" s="166">
        <f>F5*B20/B22</f>
        <v>3389.2593862688259</v>
      </c>
      <c r="F33" s="167">
        <f t="shared" si="34"/>
        <v>7751.3532865037942</v>
      </c>
      <c r="G33" s="165">
        <f>(E22/B22)*(G10-I45)*E45*B20</f>
        <v>5417.1057864602735</v>
      </c>
      <c r="H33" s="168">
        <f>G6*G33/G35</f>
        <v>4186.6494599766274</v>
      </c>
      <c r="I33" s="177">
        <f>G7*G33/G35</f>
        <v>2841.5735211355673</v>
      </c>
      <c r="J33" s="169">
        <f>G5*B20/B22</f>
        <v>3331.9492681892102</v>
      </c>
      <c r="K33" s="170">
        <f t="shared" si="35"/>
        <v>7518.5987281658381</v>
      </c>
      <c r="L33" s="165">
        <f>(F22/B22)*(H10-J45)*E45*B20</f>
        <v>5602.1276747325792</v>
      </c>
      <c r="M33" s="168">
        <f>H6*L33/L35</f>
        <v>4421.1282192731487</v>
      </c>
      <c r="N33" s="165">
        <f>H7*L33/L35</f>
        <v>2970.4301174595948</v>
      </c>
      <c r="O33" s="171">
        <f>H5*B20/B22</f>
        <v>3299.3274764901366</v>
      </c>
      <c r="P33" s="170">
        <f t="shared" si="30"/>
        <v>7720.4556957632849</v>
      </c>
      <c r="Q33" s="172"/>
      <c r="R33" s="176">
        <f t="shared" si="31"/>
        <v>1375.8436969351787</v>
      </c>
      <c r="S33" s="176">
        <f t="shared" si="32"/>
        <v>1345.0759388410602</v>
      </c>
      <c r="T33" s="176">
        <f t="shared" si="33"/>
        <v>1450.6981018135539</v>
      </c>
      <c r="U33" s="175"/>
      <c r="V33" s="175"/>
    </row>
    <row r="34" ht="15.75">
      <c r="A34" s="164" t="s">
        <v>32</v>
      </c>
      <c r="B34" s="165">
        <f>(D22/B22)*(F10-H46)*E46*B21*0</f>
        <v>0</v>
      </c>
      <c r="C34" s="165">
        <f>F6*B34/B35</f>
        <v>0</v>
      </c>
      <c r="D34" s="165">
        <f>F7*B34/B35</f>
        <v>0</v>
      </c>
      <c r="E34" s="166">
        <f>F5*B21/B22</f>
        <v>3478.6464470055862</v>
      </c>
      <c r="F34" s="167">
        <f t="shared" si="34"/>
        <v>3478.6464470055862</v>
      </c>
      <c r="G34" s="165">
        <f>(E22/B22)*(G10-I46)*E46*B21*0</f>
        <v>0</v>
      </c>
      <c r="H34" s="168">
        <f>G6*G34/G35</f>
        <v>0</v>
      </c>
      <c r="I34" s="177">
        <f>G7*G34/G35</f>
        <v>0</v>
      </c>
      <c r="J34" s="169">
        <f>G5*B21/B22</f>
        <v>3419.8248532843099</v>
      </c>
      <c r="K34" s="170">
        <f t="shared" si="35"/>
        <v>3419.8248532843099</v>
      </c>
      <c r="L34" s="165">
        <f>(F22/B22)*(H10-J46)*E46*B21*0</f>
        <v>0</v>
      </c>
      <c r="M34" s="168">
        <f>H6*L34/L35</f>
        <v>0</v>
      </c>
      <c r="N34" s="165">
        <f>H7*L34/L35</f>
        <v>0</v>
      </c>
      <c r="O34" s="171">
        <f>H5*B21/B22</f>
        <v>3386.3427066393269</v>
      </c>
      <c r="P34" s="170">
        <f t="shared" si="30"/>
        <v>3386.3427066393269</v>
      </c>
      <c r="Q34" s="172"/>
      <c r="R34" s="176">
        <f t="shared" si="31"/>
        <v>0</v>
      </c>
      <c r="S34" s="174">
        <f t="shared" si="32"/>
        <v>0</v>
      </c>
      <c r="T34" s="174">
        <f t="shared" si="33"/>
        <v>0</v>
      </c>
      <c r="U34" s="175"/>
      <c r="V34" s="175"/>
    </row>
    <row r="35">
      <c r="A35" s="150" t="s">
        <v>33</v>
      </c>
      <c r="B35" s="153">
        <f>B28+B29+B30+B31+B32+B33+B34</f>
        <v>79792.723741394584</v>
      </c>
      <c r="C35" s="153">
        <f>C28+C29+C30+C31+C32+C33+C34</f>
        <v>63993.100000000006</v>
      </c>
      <c r="D35" s="178">
        <f>D28+D29+D30+D31+D32+D33+D34</f>
        <v>43809.099999999999</v>
      </c>
      <c r="E35" s="179">
        <f>E28+E29+E30+E31+E32+E33+E34</f>
        <v>70233.399999999994</v>
      </c>
      <c r="F35" s="180">
        <f t="shared" si="34"/>
        <v>134226.5</v>
      </c>
      <c r="G35" s="153">
        <f>G28+G29+G30+G31+G32+G33+G34</f>
        <v>82117.881820928742</v>
      </c>
      <c r="H35" s="153">
        <f>H28+H29+H30+H31+H32+H33+H34</f>
        <v>63465.400000000009</v>
      </c>
      <c r="I35" s="178">
        <f>I28+I29+I30+I31+I32+I33+I34</f>
        <v>43075.399999999994</v>
      </c>
      <c r="J35" s="153">
        <f>J28+J29+J30+J31+J32+J33+J34</f>
        <v>69045.800000000003</v>
      </c>
      <c r="K35" s="153">
        <f t="shared" ref="K35:P35" si="36">SUM(K28:K34)</f>
        <v>132511.20000000001</v>
      </c>
      <c r="L35" s="153">
        <f t="shared" si="36"/>
        <v>83528.0762089528</v>
      </c>
      <c r="M35" s="153">
        <f t="shared" si="36"/>
        <v>65919.300000000017</v>
      </c>
      <c r="N35" s="178">
        <f t="shared" si="36"/>
        <v>44289.30000000001</v>
      </c>
      <c r="O35" s="181">
        <f t="shared" si="36"/>
        <v>68369.800000000017</v>
      </c>
      <c r="P35" s="181">
        <f t="shared" si="36"/>
        <v>134289.10000000003</v>
      </c>
      <c r="Q35" s="155"/>
      <c r="R35" s="182">
        <f t="shared" si="31"/>
        <v>20184.000000000007</v>
      </c>
      <c r="S35" s="182">
        <f t="shared" si="32"/>
        <v>20390.000000000015</v>
      </c>
      <c r="T35" s="182">
        <f t="shared" si="33"/>
        <v>21630.000000000007</v>
      </c>
      <c r="U35" s="157"/>
      <c r="V35" s="157"/>
    </row>
    <row r="36" ht="17.25" customHeight="1">
      <c r="A36" s="183"/>
      <c r="B36" s="183"/>
      <c r="C36" s="183"/>
      <c r="D36" s="183"/>
      <c r="E36" s="183"/>
      <c r="F36" s="183"/>
      <c r="G36" s="183"/>
      <c r="H36" s="183"/>
      <c r="I36" s="183"/>
      <c r="J36" s="183"/>
      <c r="K36" s="183"/>
      <c r="L36" s="183"/>
      <c r="M36" s="183"/>
      <c r="N36" s="183"/>
      <c r="O36" s="183"/>
      <c r="P36" s="183"/>
      <c r="Q36" s="183"/>
      <c r="R36" s="1"/>
      <c r="S36" s="184"/>
      <c r="T36" s="1"/>
    </row>
    <row r="37" ht="140.25" customHeight="1">
      <c r="A37" s="133" t="s">
        <v>3</v>
      </c>
      <c r="B37" s="185" t="s">
        <v>75</v>
      </c>
      <c r="C37" s="185" t="s">
        <v>76</v>
      </c>
      <c r="D37" s="185" t="s">
        <v>77</v>
      </c>
      <c r="E37" s="186" t="s">
        <v>78</v>
      </c>
      <c r="F37" s="186"/>
      <c r="G37" s="186"/>
      <c r="H37" s="133" t="s">
        <v>79</v>
      </c>
      <c r="I37" s="185" t="s">
        <v>80</v>
      </c>
      <c r="J37" s="133" t="s">
        <v>81</v>
      </c>
      <c r="K37" s="133" t="s">
        <v>82</v>
      </c>
      <c r="L37" s="109"/>
      <c r="M37" s="109"/>
      <c r="N37" s="116"/>
      <c r="O37" s="139"/>
      <c r="P37" s="1"/>
      <c r="Q37" s="1"/>
      <c r="R37" s="187"/>
      <c r="S37" s="187"/>
      <c r="T37" s="187"/>
    </row>
    <row r="38">
      <c r="A38" s="140">
        <v>1</v>
      </c>
      <c r="B38" s="188">
        <v>2</v>
      </c>
      <c r="C38" s="38">
        <v>3</v>
      </c>
      <c r="D38" s="189">
        <v>4</v>
      </c>
      <c r="E38" s="38">
        <v>5</v>
      </c>
      <c r="F38" s="38"/>
      <c r="G38" s="38"/>
      <c r="H38" s="38">
        <v>8</v>
      </c>
      <c r="I38" s="188">
        <v>9</v>
      </c>
      <c r="J38" s="38">
        <v>10</v>
      </c>
      <c r="K38" s="38">
        <v>11</v>
      </c>
      <c r="L38" s="111"/>
      <c r="M38" s="96">
        <v>2026</v>
      </c>
      <c r="N38" s="109">
        <v>2027</v>
      </c>
      <c r="O38" s="96">
        <v>2028</v>
      </c>
      <c r="P38" s="190"/>
      <c r="Q38" s="96"/>
      <c r="R38" s="1"/>
      <c r="S38" s="1"/>
      <c r="T38" s="1"/>
    </row>
    <row r="39" hidden="1">
      <c r="A39" s="72"/>
      <c r="B39" s="191"/>
      <c r="C39" s="72"/>
      <c r="D39" s="192"/>
      <c r="E39" s="72"/>
      <c r="F39" s="72"/>
      <c r="G39" s="72"/>
      <c r="H39" s="72"/>
      <c r="I39" s="191"/>
      <c r="J39" s="72"/>
      <c r="K39" s="72"/>
      <c r="L39" s="109"/>
      <c r="M39" s="1"/>
      <c r="N39" s="109"/>
      <c r="O39" s="1"/>
      <c r="P39" s="1"/>
      <c r="Q39" s="1"/>
      <c r="R39" s="1"/>
      <c r="S39" s="1"/>
      <c r="T39" s="1"/>
    </row>
    <row r="40" ht="15.75">
      <c r="A40" s="164" t="s">
        <v>20</v>
      </c>
      <c r="B40" s="193">
        <f t="shared" ref="B40:B46" si="37">J15</f>
        <v>0.90869592751615469</v>
      </c>
      <c r="C40" s="194">
        <f t="shared" ref="C40:C46" si="38">K15</f>
        <v>0.90856027056931132</v>
      </c>
      <c r="D40" s="195">
        <f t="shared" ref="D40:D46" si="39">L15</f>
        <v>0.90841895466455336</v>
      </c>
      <c r="E40" s="194">
        <f>' Индекс бюджетных расход'!N36</f>
        <v>0.70181973241785456</v>
      </c>
      <c r="F40" s="194"/>
      <c r="G40" s="194"/>
      <c r="H40" s="194">
        <f t="shared" ref="H40:H46" si="40">B40/E40</f>
        <v>1.2947711293120621</v>
      </c>
      <c r="I40" s="193">
        <f t="shared" ref="I40:I46" si="41">C40/E40</f>
        <v>1.2945778361620162</v>
      </c>
      <c r="J40" s="194">
        <f t="shared" ref="J40:J46" si="42">D40/E40</f>
        <v>1.2943764797477826</v>
      </c>
      <c r="K40" s="194">
        <f t="shared" ref="K40:K46" si="43">H40+F28/(($D$22/$B$22)*B15*E40)</f>
        <v>1.6030482113604976</v>
      </c>
      <c r="L40" s="196" t="str">
        <f t="shared" ref="L40:L46" si="44">IF($F$10*0.9&lt;K40,"Исполнено","Неисполнено")</f>
        <v>Исполнено</v>
      </c>
      <c r="M40" s="197">
        <f t="shared" ref="M40:M46" si="45">E28</f>
        <v>49314.344813688753</v>
      </c>
      <c r="N40" s="197">
        <f t="shared" ref="N40:N46" si="46">J28</f>
        <v>48480.472099271719</v>
      </c>
      <c r="O40" s="197">
        <f t="shared" ref="O40:O46" si="47">O28</f>
        <v>48005.819055363077</v>
      </c>
      <c r="P40" s="198" t="s">
        <v>83</v>
      </c>
      <c r="Q40" s="1"/>
      <c r="R40" s="199"/>
      <c r="S40" s="200"/>
      <c r="T40" s="200"/>
    </row>
    <row r="41" ht="15.75">
      <c r="A41" s="164" t="s">
        <v>22</v>
      </c>
      <c r="B41" s="193">
        <f t="shared" si="37"/>
        <v>1.8156814295235724</v>
      </c>
      <c r="C41" s="194">
        <f t="shared" si="38"/>
        <v>1.8161969874035393</v>
      </c>
      <c r="D41" s="195">
        <f t="shared" si="39"/>
        <v>1.8166740091786207</v>
      </c>
      <c r="E41" s="194">
        <f>' Индекс бюджетных расход'!N37</f>
        <v>1.3968265830814137</v>
      </c>
      <c r="F41" s="194"/>
      <c r="G41" s="194"/>
      <c r="H41" s="194">
        <f t="shared" si="40"/>
        <v>1.2998617376812522</v>
      </c>
      <c r="I41" s="193">
        <f t="shared" si="41"/>
        <v>1.3002308299409582</v>
      </c>
      <c r="J41" s="194">
        <f t="shared" si="42"/>
        <v>1.3005723338762778</v>
      </c>
      <c r="K41" s="194">
        <f t="shared" si="43"/>
        <v>1.4547520740009612</v>
      </c>
      <c r="L41" s="196" t="str">
        <f t="shared" si="44"/>
        <v>Исполнено</v>
      </c>
      <c r="M41" s="197">
        <f t="shared" si="45"/>
        <v>3597.8291946545996</v>
      </c>
      <c r="N41" s="197">
        <f t="shared" si="46"/>
        <v>3536.9923000777771</v>
      </c>
      <c r="O41" s="197">
        <f t="shared" si="47"/>
        <v>3502.3630135049143</v>
      </c>
      <c r="P41" s="198"/>
      <c r="Q41" s="1"/>
      <c r="R41" s="199"/>
      <c r="S41" s="200"/>
      <c r="T41" s="200"/>
    </row>
    <row r="42" ht="15.75">
      <c r="A42" s="164" t="s">
        <v>24</v>
      </c>
      <c r="B42" s="193">
        <f t="shared" si="37"/>
        <v>0.20517889772215442</v>
      </c>
      <c r="C42" s="194">
        <f t="shared" si="38"/>
        <v>0.2051904263637169</v>
      </c>
      <c r="D42" s="195">
        <f t="shared" si="39"/>
        <v>0.20525085551460429</v>
      </c>
      <c r="E42" s="194">
        <f>' Индекс бюджетных расход'!N38</f>
        <v>1.966550477305937</v>
      </c>
      <c r="F42" s="194"/>
      <c r="G42" s="194"/>
      <c r="H42" s="201">
        <f t="shared" si="40"/>
        <v>0.10433441708714129</v>
      </c>
      <c r="I42" s="193">
        <f t="shared" si="41"/>
        <v>0.10434027945461953</v>
      </c>
      <c r="J42" s="194">
        <f t="shared" si="42"/>
        <v>0.10437100795693094</v>
      </c>
      <c r="K42" s="194">
        <f t="shared" si="43"/>
        <v>1.0907661523055561</v>
      </c>
      <c r="L42" s="202" t="str">
        <f t="shared" si="44"/>
        <v>Исполнено</v>
      </c>
      <c r="M42" s="197">
        <f t="shared" si="45"/>
        <v>3687.2162553913604</v>
      </c>
      <c r="N42" s="197">
        <f t="shared" si="46"/>
        <v>3624.8678851728769</v>
      </c>
      <c r="O42" s="197">
        <f t="shared" si="47"/>
        <v>3589.3782436541046</v>
      </c>
      <c r="P42" s="203"/>
      <c r="Q42" s="1"/>
      <c r="R42" s="199"/>
      <c r="S42" s="200"/>
      <c r="T42" s="200"/>
    </row>
    <row r="43" ht="15.75">
      <c r="A43" s="164" t="s">
        <v>26</v>
      </c>
      <c r="B43" s="193">
        <f t="shared" si="37"/>
        <v>1.9568965412124559</v>
      </c>
      <c r="C43" s="194">
        <f t="shared" si="38"/>
        <v>1.9574242243636373</v>
      </c>
      <c r="D43" s="195">
        <f t="shared" si="39"/>
        <v>1.9579207217420895</v>
      </c>
      <c r="E43" s="194">
        <f>' Индекс бюджетных расход'!N39</f>
        <v>1.6631639147821007</v>
      </c>
      <c r="F43" s="194"/>
      <c r="G43" s="194"/>
      <c r="H43" s="194">
        <f t="shared" si="40"/>
        <v>1.176610750040737</v>
      </c>
      <c r="I43" s="193">
        <f t="shared" si="41"/>
        <v>1.176928026736372</v>
      </c>
      <c r="J43" s="194">
        <f t="shared" si="42"/>
        <v>1.1772265525605794</v>
      </c>
      <c r="K43" s="194">
        <f t="shared" si="43"/>
        <v>1.3231546690380362</v>
      </c>
      <c r="L43" s="196" t="str">
        <f t="shared" si="44"/>
        <v>Исполнено</v>
      </c>
      <c r="M43" s="197">
        <f t="shared" si="45"/>
        <v>3133.5130736053175</v>
      </c>
      <c r="N43" s="197">
        <f t="shared" si="46"/>
        <v>3080.5274552782298</v>
      </c>
      <c r="O43" s="197">
        <f t="shared" si="47"/>
        <v>3050.3672346743974</v>
      </c>
      <c r="P43" s="198"/>
      <c r="Q43" s="1"/>
      <c r="R43" s="199"/>
      <c r="S43" s="200"/>
      <c r="T43" s="200"/>
    </row>
    <row r="44" ht="15.75">
      <c r="A44" s="164" t="s">
        <v>28</v>
      </c>
      <c r="B44" s="193">
        <f t="shared" si="37"/>
        <v>0.23512573553116961</v>
      </c>
      <c r="C44" s="194">
        <f t="shared" si="38"/>
        <v>0.23510524281950471</v>
      </c>
      <c r="D44" s="195">
        <f t="shared" si="39"/>
        <v>0.23520170337288873</v>
      </c>
      <c r="E44" s="194">
        <f>' Индекс бюджетных расход'!N40</f>
        <v>2.0488864792503918</v>
      </c>
      <c r="F44" s="194"/>
      <c r="G44" s="194"/>
      <c r="H44" s="201">
        <f t="shared" si="40"/>
        <v>0.11475781499480293</v>
      </c>
      <c r="I44" s="193">
        <f t="shared" si="41"/>
        <v>0.11474781311725997</v>
      </c>
      <c r="J44" s="194">
        <f t="shared" si="42"/>
        <v>0.1147948926184236</v>
      </c>
      <c r="K44" s="194">
        <f t="shared" si="43"/>
        <v>1.0884089387418359</v>
      </c>
      <c r="L44" s="202" t="str">
        <f t="shared" si="44"/>
        <v>Исполнено</v>
      </c>
      <c r="M44" s="197">
        <f t="shared" si="45"/>
        <v>3632.5908293855623</v>
      </c>
      <c r="N44" s="197">
        <f t="shared" si="46"/>
        <v>3571.1661387258719</v>
      </c>
      <c r="O44" s="197">
        <f t="shared" si="47"/>
        <v>3536.2022696740437</v>
      </c>
      <c r="P44" s="203"/>
      <c r="Q44" s="1"/>
      <c r="R44" s="199"/>
      <c r="S44" s="1"/>
      <c r="T44" s="1"/>
    </row>
    <row r="45" ht="15.75">
      <c r="A45" s="164" t="s">
        <v>30</v>
      </c>
      <c r="B45" s="193">
        <f t="shared" si="37"/>
        <v>1.5351619860803591</v>
      </c>
      <c r="C45" s="194">
        <f t="shared" si="38"/>
        <v>1.5356457832596684</v>
      </c>
      <c r="D45" s="195">
        <f t="shared" si="39"/>
        <v>1.5360521306826136</v>
      </c>
      <c r="E45" s="194">
        <f>' Индекс бюджетных расход'!N41</f>
        <v>1.5723984886327944</v>
      </c>
      <c r="F45" s="194"/>
      <c r="G45" s="194"/>
      <c r="H45" s="194">
        <f t="shared" si="40"/>
        <v>0.97631866042760407</v>
      </c>
      <c r="I45" s="193">
        <f t="shared" si="41"/>
        <v>0.97662634145299732</v>
      </c>
      <c r="J45" s="194">
        <f t="shared" si="42"/>
        <v>0.97688476667146629</v>
      </c>
      <c r="K45" s="194">
        <f t="shared" si="43"/>
        <v>1.2910042969435105</v>
      </c>
      <c r="L45" s="196" t="str">
        <f t="shared" si="44"/>
        <v>Исполнено</v>
      </c>
      <c r="M45" s="197">
        <f t="shared" si="45"/>
        <v>3389.2593862688259</v>
      </c>
      <c r="N45" s="197">
        <f t="shared" si="46"/>
        <v>3331.9492681892102</v>
      </c>
      <c r="O45" s="197">
        <f t="shared" si="47"/>
        <v>3299.3274764901366</v>
      </c>
      <c r="P45" s="198"/>
      <c r="Q45" s="1"/>
      <c r="R45" s="199"/>
      <c r="S45" s="1"/>
      <c r="T45" s="1"/>
    </row>
    <row r="46" ht="15.75">
      <c r="A46" s="164" t="s">
        <v>32</v>
      </c>
      <c r="B46" s="193">
        <f t="shared" si="37"/>
        <v>1.7085571962974231</v>
      </c>
      <c r="C46" s="194">
        <f t="shared" si="38"/>
        <v>1.709009573721459</v>
      </c>
      <c r="D46" s="195">
        <f t="shared" si="39"/>
        <v>1.7095116205663632</v>
      </c>
      <c r="E46" s="194">
        <f>' Индекс бюджетных расход'!N42</f>
        <v>1.4208458136604023</v>
      </c>
      <c r="F46" s="194"/>
      <c r="G46" s="194"/>
      <c r="H46" s="194">
        <f t="shared" si="40"/>
        <v>1.2024930360992618</v>
      </c>
      <c r="I46" s="193">
        <f t="shared" si="41"/>
        <v>1.2028114221054607</v>
      </c>
      <c r="J46" s="194">
        <f t="shared" si="42"/>
        <v>1.2031647657547697</v>
      </c>
      <c r="K46" s="194">
        <f t="shared" si="43"/>
        <v>1.3547649695868325</v>
      </c>
      <c r="L46" s="196" t="str">
        <f t="shared" si="44"/>
        <v>Исполнено</v>
      </c>
      <c r="M46" s="197">
        <f t="shared" si="45"/>
        <v>3478.6464470055862</v>
      </c>
      <c r="N46" s="197">
        <f t="shared" si="46"/>
        <v>3419.8248532843099</v>
      </c>
      <c r="O46" s="197">
        <f t="shared" si="47"/>
        <v>3386.3427066393269</v>
      </c>
      <c r="P46" s="198"/>
      <c r="Q46" s="1"/>
      <c r="R46" s="199"/>
      <c r="S46" s="1"/>
      <c r="T46" s="1"/>
    </row>
    <row r="47">
      <c r="A47" s="150" t="s">
        <v>33</v>
      </c>
      <c r="B47" s="72"/>
      <c r="C47" s="72"/>
      <c r="D47" s="72"/>
      <c r="E47" s="72"/>
      <c r="F47" s="204"/>
      <c r="G47" s="204"/>
      <c r="H47" s="72"/>
      <c r="I47" s="191"/>
      <c r="J47" s="72"/>
      <c r="K47" s="72"/>
      <c r="L47" s="130"/>
      <c r="M47" s="205">
        <f>SUM(M40:M46)</f>
        <v>70233.399999999994</v>
      </c>
      <c r="N47" s="206">
        <f>SUM(N40:N46)</f>
        <v>69045.800000000003</v>
      </c>
      <c r="O47" s="206">
        <f>SUM(O40:O46)</f>
        <v>68369.800000000017</v>
      </c>
      <c r="P47" s="1"/>
      <c r="Q47" s="1"/>
      <c r="R47" s="1"/>
      <c r="S47" s="1"/>
      <c r="T47" s="1"/>
    </row>
    <row r="48">
      <c r="A48" s="1"/>
      <c r="B48" s="1"/>
      <c r="C48" s="1"/>
      <c r="D48" s="1"/>
      <c r="E48" s="1" t="s">
        <v>84</v>
      </c>
      <c r="F48" s="207">
        <f>F10</f>
        <v>1.1971316106280181</v>
      </c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</row>
    <row r="49">
      <c r="A49" s="1"/>
      <c r="B49" s="1"/>
      <c r="C49" s="1"/>
      <c r="D49" s="1"/>
      <c r="E49" s="208"/>
      <c r="F49" s="208">
        <v>325900</v>
      </c>
      <c r="G49" s="209">
        <f>H40/F48</f>
        <v>1.0815612233585763</v>
      </c>
      <c r="H49" s="208">
        <f>F51*G49</f>
        <v>44060.100336570002</v>
      </c>
      <c r="I49" s="210" t="s">
        <v>85</v>
      </c>
      <c r="J49" s="210"/>
      <c r="K49" s="210"/>
      <c r="L49" s="210"/>
      <c r="M49" s="1"/>
      <c r="N49" s="1"/>
      <c r="O49" s="1"/>
      <c r="P49" s="1"/>
      <c r="Q49" s="1"/>
      <c r="R49" s="1"/>
      <c r="S49" s="1"/>
      <c r="T49" s="1"/>
    </row>
    <row r="50" ht="28.699999999999999" customHeight="1">
      <c r="A50" s="1"/>
      <c r="B50" s="1"/>
      <c r="C50" s="1"/>
      <c r="D50" s="1"/>
      <c r="E50" s="208"/>
      <c r="F50" s="208"/>
      <c r="G50" s="209">
        <f>H41/F48</f>
        <v>1.0858135614674327</v>
      </c>
      <c r="H50" s="208">
        <f>F51*G50</f>
        <v>44233.329960279538</v>
      </c>
      <c r="I50" s="211" t="s">
        <v>86</v>
      </c>
      <c r="J50" s="210"/>
      <c r="K50" s="210"/>
      <c r="L50" s="210"/>
      <c r="M50" s="1"/>
      <c r="N50" s="1"/>
      <c r="O50" s="1"/>
      <c r="P50" s="1"/>
      <c r="Q50" s="1"/>
      <c r="R50" s="1"/>
      <c r="S50" s="1"/>
      <c r="T50" s="1"/>
    </row>
    <row r="51">
      <c r="A51" s="1"/>
      <c r="B51" s="1"/>
      <c r="C51" s="1"/>
      <c r="D51" s="1"/>
      <c r="E51" s="210"/>
      <c r="F51" s="208">
        <f>F49/8</f>
        <v>40737.5</v>
      </c>
      <c r="G51" s="209">
        <f>H42/F48</f>
        <v>8.7153673130732232e-002</v>
      </c>
      <c r="H51" s="208">
        <f>F51*G51</f>
        <v>3550.4227591632043</v>
      </c>
      <c r="I51" s="211" t="s">
        <v>87</v>
      </c>
      <c r="J51" s="210"/>
      <c r="K51" s="210"/>
      <c r="L51" s="210"/>
      <c r="M51" s="1"/>
      <c r="N51" s="1"/>
      <c r="O51" s="1"/>
      <c r="P51" s="1"/>
      <c r="Q51" s="1"/>
      <c r="R51" s="1"/>
      <c r="S51" s="1"/>
      <c r="T51" s="1"/>
    </row>
    <row r="52">
      <c r="E52" s="212"/>
      <c r="F52" s="212"/>
      <c r="G52" s="213">
        <f>H43/F48</f>
        <v>0.98285830863950219</v>
      </c>
      <c r="H52" s="214">
        <f>F51*G52</f>
        <v>40039.190348201722</v>
      </c>
      <c r="I52" s="215" t="s">
        <v>88</v>
      </c>
      <c r="J52" s="212"/>
      <c r="K52" s="212"/>
      <c r="L52" s="212"/>
    </row>
    <row r="53">
      <c r="E53" s="212"/>
      <c r="F53" s="212"/>
      <c r="G53" s="213">
        <f>H44/F48</f>
        <v>9.5860650555038562e-002</v>
      </c>
      <c r="H53" s="214">
        <f>F51*G53</f>
        <v>3905.1232519858836</v>
      </c>
      <c r="I53" s="215" t="s">
        <v>89</v>
      </c>
      <c r="J53" s="212"/>
      <c r="K53" s="212"/>
      <c r="L53" s="212"/>
    </row>
    <row r="54">
      <c r="E54" s="212"/>
      <c r="F54" s="212"/>
      <c r="G54" s="213">
        <f>H45/F48</f>
        <v>0.8155483087740244</v>
      </c>
      <c r="H54" s="214">
        <f>F51*G54</f>
        <v>33223.399228681817</v>
      </c>
      <c r="I54" s="215" t="s">
        <v>90</v>
      </c>
      <c r="J54" s="212"/>
      <c r="K54" s="212"/>
      <c r="L54" s="212"/>
    </row>
    <row r="55">
      <c r="E55" s="212"/>
      <c r="F55" s="212"/>
      <c r="G55" s="213">
        <f>H46/F48</f>
        <v>1.0044785597704091</v>
      </c>
      <c r="H55" s="214">
        <f>F51*G55</f>
        <v>40919.945328647038</v>
      </c>
      <c r="I55" s="215" t="s">
        <v>91</v>
      </c>
      <c r="J55" s="212"/>
      <c r="K55" s="212"/>
      <c r="L55" s="212"/>
    </row>
    <row r="56">
      <c r="E56" s="212"/>
      <c r="F56" s="212"/>
      <c r="G56" s="213"/>
      <c r="H56" s="212"/>
      <c r="I56" s="212"/>
      <c r="J56" s="212"/>
      <c r="K56" s="212"/>
      <c r="L56" s="212"/>
    </row>
    <row r="57">
      <c r="E57" s="212"/>
      <c r="F57" s="212"/>
      <c r="G57" s="216"/>
      <c r="H57" s="212"/>
      <c r="I57" s="212"/>
      <c r="J57" s="212"/>
      <c r="K57" s="212"/>
      <c r="L57" s="212"/>
    </row>
    <row r="58">
      <c r="E58" s="212"/>
      <c r="F58" s="212">
        <f>H58/F49*100</f>
        <v>64.415928571196446</v>
      </c>
      <c r="G58" s="212"/>
      <c r="H58" s="214">
        <f>H49+H50+H51+H52+H53+H54+H55</f>
        <v>209931.51121352921</v>
      </c>
      <c r="I58" s="212"/>
      <c r="J58" s="212"/>
      <c r="K58" s="212"/>
      <c r="L58" s="212"/>
    </row>
  </sheetData>
  <mergeCells count="37">
    <mergeCell ref="A1:R1"/>
    <mergeCell ref="K2:M2"/>
    <mergeCell ref="N2:P2"/>
    <mergeCell ref="A4:C4"/>
    <mergeCell ref="A5:C5"/>
    <mergeCell ref="A6:C6"/>
    <mergeCell ref="A7:C7"/>
    <mergeCell ref="A8:C8"/>
    <mergeCell ref="K9:M9"/>
    <mergeCell ref="A10:D10"/>
    <mergeCell ref="A12:A13"/>
    <mergeCell ref="B12:B13"/>
    <mergeCell ref="C12:C13"/>
    <mergeCell ref="D12:F12"/>
    <mergeCell ref="G12:I12"/>
    <mergeCell ref="J12:L12"/>
    <mergeCell ref="B24:F24"/>
    <mergeCell ref="G24:K24"/>
    <mergeCell ref="L24:P24"/>
    <mergeCell ref="A25:A26"/>
    <mergeCell ref="B25:B26"/>
    <mergeCell ref="C25:C26"/>
    <mergeCell ref="E25:E26"/>
    <mergeCell ref="F25:F26"/>
    <mergeCell ref="G25:G26"/>
    <mergeCell ref="H25:H26"/>
    <mergeCell ref="J25:J26"/>
    <mergeCell ref="K25:K26"/>
    <mergeCell ref="L25:L26"/>
    <mergeCell ref="M25:M26"/>
    <mergeCell ref="O25:O26"/>
    <mergeCell ref="P25:P26"/>
    <mergeCell ref="R25:R26"/>
    <mergeCell ref="S25:S26"/>
    <mergeCell ref="T25:T26"/>
    <mergeCell ref="A36:Q36"/>
    <mergeCell ref="L37:M37"/>
  </mergeCells>
  <printOptions headings="0" gridLines="0"/>
  <pageMargins left="0.19652799999999998" right="0.11805600000000001" top="0.157639" bottom="0.157639" header="0.51180599999999998" footer="0.51180599999999998"/>
  <pageSetup paperSize="9" scale="45" fitToWidth="1" fitToHeight="1" pageOrder="downThenOver" orientation="landscape" usePrinterDefaults="1" blackAndWhite="0" draft="0" cellComments="none" useFirstPageNumber="0" errors="displayed" horizontalDpi="600" verticalDpi="600" copies="1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view="pageBreakPreview" topLeftCell="A2" zoomScale="100" workbookViewId="0">
      <selection activeCell="E14" activeCellId="0" sqref="E14"/>
    </sheetView>
  </sheetViews>
  <sheetFormatPr defaultColWidth="9.140625" defaultRowHeight="15" customHeight="1"/>
  <cols>
    <col customWidth="1" min="1" max="1" width="2.42578125"/>
    <col customWidth="1" min="2" max="2" width="19.5703125"/>
    <col customWidth="1" min="3" max="3" width="10.7109375"/>
    <col customWidth="1" min="4" max="4" width="13.85546875"/>
    <col customWidth="1" min="5" max="5" width="14.28515625"/>
    <col customWidth="1" min="6" max="6" style="217" width="16.140625"/>
    <col customWidth="1" min="7" max="7" width="14.85546875"/>
    <col customWidth="1" min="8" max="8" width="16"/>
    <col customWidth="1" min="9" max="9" width="19"/>
    <col customWidth="1" min="10" max="10" width="13.42578125"/>
    <col customWidth="1" min="11" max="11" width="10.5703125"/>
    <col customWidth="1" min="12" max="12" width="11.7109375"/>
    <col customWidth="1" min="13" max="13" width="12.42578125"/>
    <col customWidth="1" min="14" max="14" width="12.28515625"/>
    <col customWidth="1" min="15" max="16" width="17.140625"/>
    <col customWidth="1" min="17" max="17" width="14.28515625"/>
    <col customWidth="1" min="18" max="18" width="17.28515625"/>
    <col customWidth="1" min="19" max="19" width="11.7109375"/>
    <col customWidth="1" min="20" max="20" width="6.85546875"/>
    <col customWidth="1" min="21" max="21" width="3.42578125"/>
    <col customWidth="1" min="22" max="22" width="20.7109375"/>
    <col customWidth="1" min="23" max="23" width="14.42578125"/>
    <col customWidth="1" min="24" max="24" width="11.140625"/>
  </cols>
  <sheetData>
    <row r="1" hidden="1">
      <c r="B1" s="132"/>
      <c r="C1" s="132"/>
      <c r="D1" s="132"/>
      <c r="E1" s="132"/>
      <c r="G1" s="132"/>
      <c r="H1" s="132"/>
      <c r="I1" s="132"/>
      <c r="J1" s="132"/>
      <c r="K1" s="132"/>
      <c r="L1" s="132"/>
      <c r="M1" s="132"/>
      <c r="N1" s="132"/>
      <c r="O1" s="132"/>
      <c r="P1" s="132"/>
      <c r="Q1" s="132"/>
      <c r="R1" s="132"/>
      <c r="S1" s="132"/>
      <c r="T1" s="132"/>
      <c r="U1" s="132"/>
      <c r="V1" s="132"/>
      <c r="W1" s="132"/>
    </row>
    <row r="2" s="218" customFormat="1" ht="31.5" customHeight="1">
      <c r="B2" s="219"/>
      <c r="C2" s="132"/>
      <c r="D2" s="132"/>
      <c r="E2" s="132"/>
      <c r="F2" s="217"/>
      <c r="G2" s="132"/>
      <c r="H2" s="132"/>
      <c r="I2" s="132"/>
      <c r="J2" s="132"/>
      <c r="K2" s="132"/>
      <c r="L2" s="132"/>
      <c r="M2" s="132"/>
      <c r="N2" s="132"/>
      <c r="O2" s="132"/>
      <c r="P2" s="132"/>
      <c r="Q2" s="132"/>
      <c r="R2" s="132"/>
      <c r="S2" s="132"/>
      <c r="T2" s="132"/>
      <c r="U2" s="132"/>
      <c r="V2" s="132"/>
      <c r="W2" s="132"/>
      <c r="X2" s="132"/>
      <c r="Y2" s="132"/>
      <c r="Z2" s="132"/>
      <c r="AA2" s="132"/>
    </row>
    <row r="3" ht="15" customHeight="1">
      <c r="G3" s="141" t="s">
        <v>92</v>
      </c>
      <c r="J3" s="132"/>
      <c r="K3" s="220" t="s">
        <v>93</v>
      </c>
      <c r="L3" s="220"/>
      <c r="M3" s="220"/>
      <c r="N3" s="220"/>
    </row>
    <row r="4" ht="71.25">
      <c r="A4" s="28"/>
      <c r="B4" s="221"/>
      <c r="C4" s="222" t="s">
        <v>94</v>
      </c>
      <c r="D4" s="222" t="s">
        <v>95</v>
      </c>
      <c r="E4" s="223" t="s">
        <v>96</v>
      </c>
      <c r="F4" s="222" t="s">
        <v>97</v>
      </c>
      <c r="G4" s="224" t="s">
        <v>98</v>
      </c>
      <c r="H4" s="225" t="s">
        <v>99</v>
      </c>
      <c r="I4" s="226" t="s">
        <v>100</v>
      </c>
      <c r="J4" s="224" t="s">
        <v>101</v>
      </c>
      <c r="K4" s="223" t="s">
        <v>102</v>
      </c>
      <c r="L4" s="223" t="s">
        <v>103</v>
      </c>
      <c r="M4" s="223" t="s">
        <v>104</v>
      </c>
      <c r="N4" s="223" t="s">
        <v>105</v>
      </c>
      <c r="O4" s="227" t="s">
        <v>106</v>
      </c>
      <c r="P4" s="227" t="s">
        <v>107</v>
      </c>
      <c r="Q4" s="227" t="s">
        <v>108</v>
      </c>
      <c r="R4" s="228" t="s">
        <v>109</v>
      </c>
      <c r="S4" s="132"/>
      <c r="T4" s="132"/>
      <c r="U4" s="132"/>
      <c r="V4" s="132"/>
      <c r="W4" s="132"/>
    </row>
    <row r="5">
      <c r="A5" s="229" t="s">
        <v>19</v>
      </c>
      <c r="B5" s="230" t="s">
        <v>20</v>
      </c>
      <c r="C5" s="143">
        <v>19861</v>
      </c>
      <c r="D5" s="231">
        <v>350832.90000000002</v>
      </c>
      <c r="E5" s="232">
        <v>5906.9799999999996</v>
      </c>
      <c r="F5" s="233">
        <f t="shared" ref="F5:F12" si="48">E5/D5</f>
        <v>1.6837018421020374e-002</v>
      </c>
      <c r="G5" s="234">
        <f t="shared" ref="G5:G6" si="49">C5/C12</f>
        <v>0.7021494732376441</v>
      </c>
      <c r="H5" s="233">
        <v>0</v>
      </c>
      <c r="I5" s="235">
        <f>H5/D5*100</f>
        <v>0</v>
      </c>
      <c r="J5" s="236">
        <v>0</v>
      </c>
      <c r="K5" s="237">
        <v>116.43000000000001</v>
      </c>
      <c r="L5" s="237">
        <v>85.299999999999997</v>
      </c>
      <c r="M5" s="237">
        <v>2163.8099999999999</v>
      </c>
      <c r="N5" s="237">
        <v>9.2899999999999991</v>
      </c>
      <c r="O5" s="233">
        <f t="shared" ref="O5:O11" si="50">(K5+L5)*C5</f>
        <v>4006559.5300000003</v>
      </c>
      <c r="P5" s="233">
        <f t="shared" ref="P5:P11" si="51">M5*C5</f>
        <v>42975430.409999996</v>
      </c>
      <c r="Q5" s="233">
        <f t="shared" ref="Q5:Q11" si="52">N5*C5</f>
        <v>184508.68999999997</v>
      </c>
      <c r="R5" s="238">
        <f>0.2*(K5+L5)*C12/O12+0.65*M5*C12/P12+0.149999999999999*N5*C12/Q12</f>
        <v>0.97270902459426911</v>
      </c>
      <c r="S5" s="149"/>
      <c r="T5" s="149"/>
      <c r="U5" s="149"/>
      <c r="V5" s="132"/>
      <c r="W5" s="132"/>
    </row>
    <row r="6">
      <c r="A6" s="229" t="s">
        <v>21</v>
      </c>
      <c r="B6" s="230" t="s">
        <v>22</v>
      </c>
      <c r="C6" s="143">
        <v>1449</v>
      </c>
      <c r="D6" s="231">
        <v>90626.800000000003</v>
      </c>
      <c r="E6" s="232">
        <f>15868.4+9814.3</f>
        <v>25682.699999999997</v>
      </c>
      <c r="F6" s="233">
        <f t="shared" si="48"/>
        <v>0.28338968163942668</v>
      </c>
      <c r="G6" s="239">
        <f t="shared" si="49"/>
        <v>0.17198813056379822</v>
      </c>
      <c r="H6" s="232">
        <f>1481.8+277.4</f>
        <v>1759.1999999999998</v>
      </c>
      <c r="I6" s="235">
        <f t="shared" ref="I6:I12" si="53">H6/D6</f>
        <v>1.9411476516880213e-002</v>
      </c>
      <c r="J6" s="236">
        <f>(1+0.25*G6)/(1+0.25*G13)</f>
        <v>0.97071503640835732</v>
      </c>
      <c r="K6" s="237">
        <v>78.379999999999995</v>
      </c>
      <c r="L6" s="237">
        <v>75.560000000000002</v>
      </c>
      <c r="M6" s="237">
        <v>888.70000000000005</v>
      </c>
      <c r="N6" s="237">
        <v>9.2899999999999991</v>
      </c>
      <c r="O6" s="233">
        <f t="shared" si="50"/>
        <v>223059.06</v>
      </c>
      <c r="P6" s="233">
        <f t="shared" si="51"/>
        <v>1287726.3</v>
      </c>
      <c r="Q6" s="233">
        <f t="shared" si="52"/>
        <v>13461.209999999999</v>
      </c>
      <c r="R6" s="238">
        <f>0.2*(K6+L6)*C12/O12+0.65*M6*C12/P12+0.149999999999999*N6*C12/Q12</f>
        <v>0.54816384335402912</v>
      </c>
      <c r="S6" s="149"/>
      <c r="T6" s="149"/>
      <c r="U6" s="149"/>
      <c r="V6" s="132"/>
      <c r="W6" s="132"/>
    </row>
    <row r="7">
      <c r="A7" s="229" t="s">
        <v>23</v>
      </c>
      <c r="B7" s="230" t="s">
        <v>24</v>
      </c>
      <c r="C7" s="143">
        <v>1485</v>
      </c>
      <c r="D7" s="231">
        <v>68535</v>
      </c>
      <c r="E7" s="232">
        <f>16028.6+18701.6</f>
        <v>34730.199999999997</v>
      </c>
      <c r="F7" s="237">
        <f t="shared" si="48"/>
        <v>0.50675129495878013</v>
      </c>
      <c r="G7" s="238">
        <f>C7/C13</f>
        <v>0.17626112759643917</v>
      </c>
      <c r="H7" s="232">
        <f>2609.2+1472.6</f>
        <v>4081.7999999999997</v>
      </c>
      <c r="I7" s="235">
        <f t="shared" si="53"/>
        <v>5.9557890129131097e-002</v>
      </c>
      <c r="J7" s="236">
        <f>(1+0.25*G7)/(1+0.25*G13)</f>
        <v>0.97170925363532545</v>
      </c>
      <c r="K7" s="237">
        <v>116.43000000000001</v>
      </c>
      <c r="L7" s="237">
        <v>705.10000000000002</v>
      </c>
      <c r="M7" s="237">
        <v>3395.6799999999998</v>
      </c>
      <c r="N7" s="237">
        <v>9.2899999999999991</v>
      </c>
      <c r="O7" s="233">
        <f t="shared" si="50"/>
        <v>1219972.05</v>
      </c>
      <c r="P7" s="233">
        <f t="shared" si="51"/>
        <v>5042584.7999999998</v>
      </c>
      <c r="Q7" s="233">
        <f t="shared" si="52"/>
        <v>13795.65</v>
      </c>
      <c r="R7" s="238">
        <f>0.2*(K7+L7)*C12/O12+0.65*M7*C12/P12+0.149999999999999*N7*C12/Q12</f>
        <v>1.8691862478299299</v>
      </c>
      <c r="S7" s="149"/>
      <c r="T7" s="149"/>
      <c r="U7" s="149"/>
      <c r="V7" s="132"/>
      <c r="W7" s="132"/>
    </row>
    <row r="8">
      <c r="A8" s="229" t="s">
        <v>25</v>
      </c>
      <c r="B8" s="230" t="s">
        <v>26</v>
      </c>
      <c r="C8" s="143">
        <v>1262</v>
      </c>
      <c r="D8" s="231">
        <v>43556.800000000003</v>
      </c>
      <c r="E8" s="232">
        <f>16271.4+4914.8</f>
        <v>21186.200000000001</v>
      </c>
      <c r="F8" s="237">
        <f t="shared" si="48"/>
        <v>0.48640395988686036</v>
      </c>
      <c r="G8" s="238">
        <f>C8/C13</f>
        <v>0.14979228486646884</v>
      </c>
      <c r="H8" s="232">
        <f>1968.8+810.7</f>
        <v>2779.5</v>
      </c>
      <c r="I8" s="235">
        <f t="shared" si="53"/>
        <v>6.381322778532858e-002</v>
      </c>
      <c r="J8" s="236">
        <f>(1+0.25*G8)/(1+0.25*G13)</f>
        <v>0.96555063025716203</v>
      </c>
      <c r="K8" s="237">
        <v>72.810000000000002</v>
      </c>
      <c r="L8" s="237">
        <v>73.980000000000004</v>
      </c>
      <c r="M8" s="237">
        <v>546.5</v>
      </c>
      <c r="N8" s="237">
        <v>9.2899999999999991</v>
      </c>
      <c r="O8" s="233">
        <f t="shared" si="50"/>
        <v>185248.98000000004</v>
      </c>
      <c r="P8" s="233">
        <f t="shared" si="51"/>
        <v>689683</v>
      </c>
      <c r="Q8" s="233">
        <f t="shared" si="52"/>
        <v>11723.98</v>
      </c>
      <c r="R8" s="238">
        <f>0.2*(K8+L8)*C12/O12+0.65*M8*C12/P12+0.149999999999999*N8*C12/Q12</f>
        <v>0.43904068822122494</v>
      </c>
      <c r="S8" s="149"/>
      <c r="T8" s="149"/>
      <c r="U8" s="149"/>
      <c r="V8" s="132"/>
      <c r="W8" s="132"/>
    </row>
    <row r="9">
      <c r="A9" s="229" t="s">
        <v>27</v>
      </c>
      <c r="B9" s="230" t="s">
        <v>28</v>
      </c>
      <c r="C9" s="143">
        <v>1463</v>
      </c>
      <c r="D9" s="231">
        <v>53544.599999999999</v>
      </c>
      <c r="E9" s="232">
        <f>19113.5+15406.2</f>
        <v>34519.699999999997</v>
      </c>
      <c r="F9" s="237">
        <f t="shared" si="48"/>
        <v>0.64469059438300025</v>
      </c>
      <c r="G9" s="238">
        <f>C9/C13</f>
        <v>0.17364985163204746</v>
      </c>
      <c r="H9" s="232">
        <f>2518.2+1221</f>
        <v>3739.1999999999998</v>
      </c>
      <c r="I9" s="235">
        <f t="shared" si="53"/>
        <v>6.9833372552974532e-002</v>
      </c>
      <c r="J9" s="236">
        <f>(1+0.25*G9)/(1+0.25*G13)</f>
        <v>0.97110167644106726</v>
      </c>
      <c r="K9" s="237">
        <v>112.84999999999999</v>
      </c>
      <c r="L9" s="237">
        <v>307.44</v>
      </c>
      <c r="M9" s="237">
        <v>5928.5500000000002</v>
      </c>
      <c r="N9" s="237">
        <v>9.2899999999999991</v>
      </c>
      <c r="O9" s="233">
        <f t="shared" si="50"/>
        <v>614884.2699999999</v>
      </c>
      <c r="P9" s="233">
        <f t="shared" si="51"/>
        <v>8673468.6500000004</v>
      </c>
      <c r="Q9" s="233">
        <f t="shared" si="52"/>
        <v>13591.269999999999</v>
      </c>
      <c r="R9" s="238">
        <f>0.2*(K9+L9)*C12/O12+0.65*M9*C12/P12+0.149999999999999*N9*C12/Q12</f>
        <v>2.2918432058769254</v>
      </c>
      <c r="S9" s="149"/>
      <c r="T9" s="149"/>
      <c r="U9" s="149"/>
      <c r="V9" s="132"/>
      <c r="W9" s="132"/>
    </row>
    <row r="10">
      <c r="A10" s="229" t="s">
        <v>29</v>
      </c>
      <c r="B10" s="230" t="s">
        <v>30</v>
      </c>
      <c r="C10" s="143">
        <v>1365</v>
      </c>
      <c r="D10" s="231">
        <v>40573.900000000001</v>
      </c>
      <c r="E10" s="232">
        <f>15801.6+5221.9</f>
        <v>21023.5</v>
      </c>
      <c r="F10" s="237">
        <f t="shared" si="48"/>
        <v>0.51815329559150092</v>
      </c>
      <c r="G10" s="234">
        <f>C10/C13</f>
        <v>0.16201780415430267</v>
      </c>
      <c r="H10" s="232">
        <f>4956.5+1636.2</f>
        <v>6592.6999999999998</v>
      </c>
      <c r="I10" s="235">
        <f t="shared" si="53"/>
        <v>0.16248622883183522</v>
      </c>
      <c r="J10" s="236">
        <f>(1+0.25*G10)/(1+0.25*G13)</f>
        <v>0.96839519621209857</v>
      </c>
      <c r="K10" s="237">
        <v>76.079999999999998</v>
      </c>
      <c r="L10" s="237">
        <v>90.260000000000005</v>
      </c>
      <c r="M10" s="237">
        <v>1284.5899999999999</v>
      </c>
      <c r="N10" s="237">
        <v>9.2899999999999991</v>
      </c>
      <c r="O10" s="233">
        <f t="shared" si="50"/>
        <v>227054.10000000001</v>
      </c>
      <c r="P10" s="233">
        <f t="shared" si="51"/>
        <v>1753465.3499999999</v>
      </c>
      <c r="Q10" s="233">
        <f t="shared" si="52"/>
        <v>12680.849999999999</v>
      </c>
      <c r="R10" s="238">
        <f>0.2*(K10+L10)*C12/O12+0.65*M10*C12/P12+0.149999999999999*N10*C12/Q12</f>
        <v>0.67790795817078098</v>
      </c>
      <c r="S10" s="149"/>
      <c r="T10" s="149"/>
      <c r="U10" s="149"/>
      <c r="V10" s="132"/>
      <c r="W10" s="132"/>
    </row>
    <row r="11">
      <c r="A11" s="229" t="s">
        <v>31</v>
      </c>
      <c r="B11" s="230" t="s">
        <v>32</v>
      </c>
      <c r="C11" s="143">
        <v>1401</v>
      </c>
      <c r="D11" s="231">
        <v>43968.099999999999</v>
      </c>
      <c r="E11" s="232">
        <f>16203.3+5530.3</f>
        <v>21733.599999999999</v>
      </c>
      <c r="F11" s="237">
        <f t="shared" si="48"/>
        <v>0.49430382481844792</v>
      </c>
      <c r="G11" s="234">
        <f>C11/C13</f>
        <v>0.16629080118694362</v>
      </c>
      <c r="H11" s="232">
        <f>134.1+926.4</f>
        <v>1060.5</v>
      </c>
      <c r="I11" s="235">
        <f t="shared" si="53"/>
        <v>2.4119759552948615e-002</v>
      </c>
      <c r="J11" s="236">
        <f>(1+0.25*G11)/(1+0.25*G13)</f>
        <v>0.96938941343906659</v>
      </c>
      <c r="K11" s="237">
        <v>57.259999999999998</v>
      </c>
      <c r="L11" s="237">
        <v>82.609999999999999</v>
      </c>
      <c r="M11" s="237">
        <v>446.33999999999997</v>
      </c>
      <c r="N11" s="237">
        <v>9.2899999999999991</v>
      </c>
      <c r="O11" s="233">
        <f t="shared" si="50"/>
        <v>195957.87</v>
      </c>
      <c r="P11" s="233">
        <f t="shared" si="51"/>
        <v>625322.33999999997</v>
      </c>
      <c r="Q11" s="233">
        <f t="shared" si="52"/>
        <v>13015.289999999999</v>
      </c>
      <c r="R11" s="238">
        <f>0.2*(K11+L11)*C12/O12+0.65*M11*C12/P12+0.149999999999999*N11*C12/Q12</f>
        <v>0.40300838961421614</v>
      </c>
      <c r="S11" s="149"/>
      <c r="T11" s="149"/>
      <c r="U11" s="149"/>
      <c r="V11" s="132"/>
      <c r="W11" s="132"/>
    </row>
    <row r="12">
      <c r="A12" s="240"/>
      <c r="B12" s="241" t="s">
        <v>33</v>
      </c>
      <c r="C12" s="242">
        <f>SUM(C5:C11)</f>
        <v>28286</v>
      </c>
      <c r="D12" s="231">
        <f>SUM(D5:D11)</f>
        <v>691638.09999999998</v>
      </c>
      <c r="E12" s="243">
        <f>SUM(E5:E11)</f>
        <v>164782.87999999998</v>
      </c>
      <c r="F12" s="233">
        <f t="shared" si="48"/>
        <v>0.23825014845191436</v>
      </c>
      <c r="G12" s="236"/>
      <c r="H12" s="243">
        <f>SUM(H5:H11)</f>
        <v>20012.900000000001</v>
      </c>
      <c r="I12" s="235">
        <f t="shared" si="53"/>
        <v>2.8935508324367906e-002</v>
      </c>
      <c r="J12" s="236"/>
      <c r="K12" s="244"/>
      <c r="L12" s="244"/>
      <c r="M12" s="244"/>
      <c r="N12" s="244"/>
      <c r="O12" s="244">
        <f>SUM(O5:O11)</f>
        <v>6672735.8599999994</v>
      </c>
      <c r="P12" s="244">
        <f>SUM(P5:P11)</f>
        <v>61047680.849999994</v>
      </c>
      <c r="Q12" s="244">
        <f>SUM(Q5:Q11)</f>
        <v>262776.93999999994</v>
      </c>
      <c r="R12" s="245"/>
      <c r="S12" s="149"/>
      <c r="T12" s="149"/>
      <c r="U12" s="149"/>
      <c r="V12" s="132"/>
      <c r="W12" s="132"/>
    </row>
    <row r="13" s="23" customFormat="1">
      <c r="C13" s="246">
        <f>C6+C7+C8+C9+C10+C11</f>
        <v>8425</v>
      </c>
      <c r="D13" s="247"/>
      <c r="E13" s="247"/>
      <c r="F13" s="248"/>
      <c r="G13" s="247">
        <f>C13/C12</f>
        <v>0.29785052676235596</v>
      </c>
      <c r="H13" s="247"/>
      <c r="I13" s="249"/>
      <c r="J13" s="247"/>
      <c r="K13" s="247"/>
      <c r="L13" s="247"/>
      <c r="M13" s="247"/>
      <c r="N13" s="247"/>
      <c r="O13" s="247"/>
      <c r="P13" s="247"/>
      <c r="Q13" s="247"/>
      <c r="R13" s="247"/>
      <c r="S13" s="247"/>
      <c r="T13" s="247"/>
      <c r="U13" s="247"/>
    </row>
    <row r="14" s="23" customFormat="1">
      <c r="D14" s="246"/>
      <c r="F14" s="250"/>
      <c r="I14" s="251"/>
      <c r="O14" s="247"/>
      <c r="P14" s="247"/>
      <c r="Q14" s="247"/>
      <c r="R14" s="252"/>
    </row>
    <row r="15" hidden="1">
      <c r="A15" s="253"/>
      <c r="R15" s="254"/>
      <c r="S15" s="132"/>
      <c r="T15" s="132"/>
      <c r="U15" s="132"/>
      <c r="V15" s="132"/>
      <c r="W15" s="132"/>
    </row>
    <row r="16" hidden="1">
      <c r="S16" s="132"/>
      <c r="T16" s="132"/>
      <c r="U16" s="132"/>
      <c r="V16" s="132"/>
      <c r="W16" s="132"/>
    </row>
    <row r="17">
      <c r="A17" s="253"/>
      <c r="B17" t="s">
        <v>110</v>
      </c>
      <c r="S17" s="132"/>
      <c r="T17" s="132"/>
      <c r="U17" s="132"/>
      <c r="V17" s="132"/>
      <c r="W17" s="132"/>
    </row>
    <row r="18">
      <c r="S18" s="132"/>
      <c r="T18" s="132"/>
      <c r="U18" s="132"/>
      <c r="V18" s="132"/>
      <c r="W18" s="132"/>
    </row>
    <row r="19" ht="15" customHeight="1">
      <c r="A19" s="253"/>
      <c r="B19" t="s">
        <v>111</v>
      </c>
      <c r="K19" s="255" t="s">
        <v>112</v>
      </c>
      <c r="L19" s="255"/>
      <c r="M19" s="255"/>
      <c r="N19" s="132"/>
      <c r="O19" s="132"/>
      <c r="P19" s="132"/>
      <c r="Q19" s="132"/>
    </row>
    <row r="20" ht="70.5" customHeight="1">
      <c r="A20" s="28"/>
      <c r="B20" s="221"/>
      <c r="C20" s="256" t="s">
        <v>113</v>
      </c>
      <c r="D20" s="256"/>
      <c r="E20" s="223" t="s">
        <v>114</v>
      </c>
      <c r="F20" s="223" t="s">
        <v>95</v>
      </c>
      <c r="G20" s="223" t="s">
        <v>115</v>
      </c>
      <c r="H20" s="223" t="s">
        <v>116</v>
      </c>
      <c r="I20" s="223" t="s">
        <v>117</v>
      </c>
      <c r="J20" s="227" t="s">
        <v>118</v>
      </c>
      <c r="K20" s="257" t="s">
        <v>119</v>
      </c>
      <c r="L20" s="257" t="s">
        <v>120</v>
      </c>
      <c r="M20" s="257" t="s">
        <v>121</v>
      </c>
      <c r="N20" s="258" t="s">
        <v>122</v>
      </c>
      <c r="O20" s="258" t="s">
        <v>123</v>
      </c>
      <c r="P20" s="256" t="s">
        <v>124</v>
      </c>
      <c r="Q20" s="256" t="s">
        <v>125</v>
      </c>
      <c r="T20" s="132"/>
    </row>
    <row r="21">
      <c r="A21" s="229" t="s">
        <v>19</v>
      </c>
      <c r="B21" s="230" t="s">
        <v>20</v>
      </c>
      <c r="C21" s="259">
        <f t="shared" ref="C21:C27" si="54">C5</f>
        <v>19861</v>
      </c>
      <c r="D21" s="260"/>
      <c r="E21" s="261">
        <v>465.60000000000002</v>
      </c>
      <c r="F21" s="243">
        <f t="shared" ref="F21:F27" si="55">D5</f>
        <v>350832.90000000002</v>
      </c>
      <c r="G21" s="243">
        <f t="shared" ref="G21:G27" si="56">H21+I21</f>
        <v>9138.2999999999993</v>
      </c>
      <c r="H21" s="262">
        <v>0</v>
      </c>
      <c r="I21" s="243">
        <v>9138.2999999999993</v>
      </c>
      <c r="J21" s="262">
        <v>0</v>
      </c>
      <c r="K21" s="263">
        <f t="shared" ref="K21:K28" si="57">G21/F21</f>
        <v>2.6047443098979595e-002</v>
      </c>
      <c r="L21" s="264">
        <f t="shared" ref="L21:L28" si="58">J21/F21</f>
        <v>0</v>
      </c>
      <c r="M21" s="263">
        <f t="shared" ref="M21:M28" si="59">1-K21-L21</f>
        <v>0.97395255690102045</v>
      </c>
      <c r="N21" s="265">
        <f>K28*Q21+L28*O21+M28*P21</f>
        <v>0.75239412258420435</v>
      </c>
      <c r="O21" s="266">
        <f>(E21/C21)/(E28/C28)</f>
        <v>0.99685308383342408</v>
      </c>
      <c r="P21" s="267">
        <f>(1+0/C21)/(1+E32/C28)</f>
        <v>0.97169357609069051</v>
      </c>
      <c r="Q21" s="263">
        <f>0+(1-0)*C30/C21</f>
        <v>0.2034568824760658</v>
      </c>
      <c r="R21" s="268"/>
      <c r="S21" s="268"/>
      <c r="T21" s="132"/>
    </row>
    <row r="22">
      <c r="A22" s="229" t="s">
        <v>21</v>
      </c>
      <c r="B22" s="230" t="s">
        <v>22</v>
      </c>
      <c r="C22" s="259">
        <f t="shared" si="54"/>
        <v>1449</v>
      </c>
      <c r="D22" s="260"/>
      <c r="E22" s="261">
        <v>34.439999999999998</v>
      </c>
      <c r="F22" s="243">
        <f t="shared" si="55"/>
        <v>90626.800000000003</v>
      </c>
      <c r="G22" s="243">
        <f t="shared" si="56"/>
        <v>33288.699999999997</v>
      </c>
      <c r="H22" s="262">
        <v>15035.200000000001</v>
      </c>
      <c r="I22" s="243">
        <v>18253.5</v>
      </c>
      <c r="J22" s="243">
        <v>39401.199999999997</v>
      </c>
      <c r="K22" s="263">
        <f t="shared" si="57"/>
        <v>0.36731629054540155</v>
      </c>
      <c r="L22" s="264">
        <f t="shared" si="58"/>
        <v>0.43476322677177165</v>
      </c>
      <c r="M22" s="263">
        <f t="shared" si="59"/>
        <v>0.19792048268282686</v>
      </c>
      <c r="N22" s="265">
        <f>K28*Q22+L28*O22+M28*P22</f>
        <v>1.497484414921098</v>
      </c>
      <c r="O22" s="266">
        <f>(E22/C22)/(E28/C28)</f>
        <v>1.0106808892607213</v>
      </c>
      <c r="P22" s="267">
        <f>(1+0/C22)/(1+E32/C28)</f>
        <v>0.97169357609069051</v>
      </c>
      <c r="Q22" s="263">
        <f>0+(1-0)*C30/C22</f>
        <v>2.7887212856156953</v>
      </c>
      <c r="R22" s="268"/>
      <c r="S22" s="268"/>
      <c r="T22" s="132"/>
    </row>
    <row r="23">
      <c r="A23" s="229" t="s">
        <v>23</v>
      </c>
      <c r="B23" s="230" t="s">
        <v>24</v>
      </c>
      <c r="C23" s="259">
        <f t="shared" si="54"/>
        <v>1485</v>
      </c>
      <c r="D23" s="260"/>
      <c r="E23" s="269">
        <v>36.460000000000001</v>
      </c>
      <c r="F23" s="232">
        <f t="shared" si="55"/>
        <v>68535</v>
      </c>
      <c r="G23" s="232">
        <f t="shared" si="56"/>
        <v>42357.099999999999</v>
      </c>
      <c r="H23" s="270">
        <v>23914.299999999999</v>
      </c>
      <c r="I23" s="232">
        <v>18442.799999999999</v>
      </c>
      <c r="J23" s="232">
        <v>608.29999999999995</v>
      </c>
      <c r="K23" s="263">
        <f t="shared" si="57"/>
        <v>0.61803603997957246</v>
      </c>
      <c r="L23" s="264">
        <f t="shared" si="58"/>
        <v>8.8757569125264453e-003</v>
      </c>
      <c r="M23" s="263">
        <f t="shared" si="59"/>
        <v>0.37308820310790108</v>
      </c>
      <c r="N23" s="265">
        <f>K28*Q23+L28*O23+M28*P23</f>
        <v>1.6270123028915553</v>
      </c>
      <c r="O23" s="266">
        <f>(E23/C23)/(E28/C28)</f>
        <v>1.0440216557233997</v>
      </c>
      <c r="P23" s="271">
        <f>(1+E31/C23)/(1+E32/C28)</f>
        <v>1.2007122640581933</v>
      </c>
      <c r="Q23" s="263">
        <f>0+(1-0)*C30/C23</f>
        <v>2.721115921115921</v>
      </c>
      <c r="R23" s="268"/>
      <c r="S23" s="268"/>
      <c r="T23" s="132"/>
    </row>
    <row r="24">
      <c r="A24" s="229" t="s">
        <v>25</v>
      </c>
      <c r="B24" s="230" t="s">
        <v>26</v>
      </c>
      <c r="C24" s="259">
        <f t="shared" si="54"/>
        <v>1262</v>
      </c>
      <c r="D24" s="260"/>
      <c r="E24" s="261">
        <v>32.700000000000003</v>
      </c>
      <c r="F24" s="232">
        <f t="shared" si="55"/>
        <v>43556.800000000003</v>
      </c>
      <c r="G24" s="232">
        <f t="shared" si="56"/>
        <v>24806</v>
      </c>
      <c r="H24" s="270">
        <v>8080.5</v>
      </c>
      <c r="I24" s="232">
        <v>16725.5</v>
      </c>
      <c r="J24" s="232">
        <v>2378.6999999999998</v>
      </c>
      <c r="K24" s="263">
        <f t="shared" si="57"/>
        <v>0.56950923851155266</v>
      </c>
      <c r="L24" s="264">
        <f t="shared" si="58"/>
        <v>5.4611449876942282e-002</v>
      </c>
      <c r="M24" s="263">
        <f t="shared" si="59"/>
        <v>0.37587931161150506</v>
      </c>
      <c r="N24" s="265">
        <f>K28*Q24+L28*O24+M28*P24</f>
        <v>1.622993609559964</v>
      </c>
      <c r="O24" s="266">
        <f>(E24/C24)/(E28/C28)</f>
        <v>1.1018124977962611</v>
      </c>
      <c r="P24" s="267">
        <f>(1+0/C24)/(1+E32/C28)</f>
        <v>0.97169357609069051</v>
      </c>
      <c r="Q24" s="263">
        <f>0+(1-0)*C30/C24</f>
        <v>3.2019470228661988</v>
      </c>
      <c r="R24" s="268"/>
      <c r="S24" s="268"/>
      <c r="T24" s="132"/>
    </row>
    <row r="25">
      <c r="A25" s="229" t="s">
        <v>27</v>
      </c>
      <c r="B25" s="230" t="s">
        <v>28</v>
      </c>
      <c r="C25" s="259">
        <f t="shared" si="54"/>
        <v>1463</v>
      </c>
      <c r="D25" s="260"/>
      <c r="E25" s="261">
        <v>36.600000000000001</v>
      </c>
      <c r="F25" s="232">
        <f t="shared" si="55"/>
        <v>53544.599999999999</v>
      </c>
      <c r="G25" s="232">
        <f t="shared" si="56"/>
        <v>41844.199999999997</v>
      </c>
      <c r="H25" s="270">
        <v>19968.200000000001</v>
      </c>
      <c r="I25" s="232">
        <v>21876</v>
      </c>
      <c r="J25" s="232">
        <v>460.69999999999999</v>
      </c>
      <c r="K25" s="263">
        <f t="shared" si="57"/>
        <v>0.78148310006984834</v>
      </c>
      <c r="L25" s="264">
        <f t="shared" si="58"/>
        <v>8.6040422376859656e-003</v>
      </c>
      <c r="M25" s="263">
        <f t="shared" si="59"/>
        <v>0.2099128576924657</v>
      </c>
      <c r="N25" s="265">
        <f>K28*Q25+L28*O25+M28*P25</f>
        <v>1.6951324399947993</v>
      </c>
      <c r="O25" s="266">
        <f>(E25/C25)/(E28/C28)</f>
        <v>1.0637903729969433</v>
      </c>
      <c r="P25" s="271">
        <f>(1+E30/C25)/(1+E32/C28)</f>
        <v>1.2865143245985424</v>
      </c>
      <c r="Q25" s="263">
        <f>0+(1-0)*C30/C25</f>
        <v>2.7620349575236793</v>
      </c>
      <c r="R25" s="268"/>
      <c r="S25" s="268"/>
      <c r="T25" s="132"/>
    </row>
    <row r="26">
      <c r="A26" s="229" t="s">
        <v>29</v>
      </c>
      <c r="B26" s="230" t="s">
        <v>30</v>
      </c>
      <c r="C26" s="259">
        <f t="shared" si="54"/>
        <v>1365</v>
      </c>
      <c r="D26" s="260"/>
      <c r="E26" s="261">
        <v>26.899999999999999</v>
      </c>
      <c r="F26" s="232">
        <f t="shared" si="55"/>
        <v>40573.900000000001</v>
      </c>
      <c r="G26" s="232">
        <f t="shared" si="56"/>
        <v>22989.400000000001</v>
      </c>
      <c r="H26" s="270">
        <v>6445.8999999999996</v>
      </c>
      <c r="I26" s="232">
        <v>16543.5</v>
      </c>
      <c r="J26" s="232">
        <v>4346.3000000000002</v>
      </c>
      <c r="K26" s="263">
        <f t="shared" si="57"/>
        <v>0.56660562578406315</v>
      </c>
      <c r="L26" s="264">
        <f t="shared" si="58"/>
        <v>0.10712058737267061</v>
      </c>
      <c r="M26" s="263">
        <f t="shared" si="59"/>
        <v>0.32627378684326624</v>
      </c>
      <c r="N26" s="265">
        <f>K28*Q26+L28*O26+M28*P26</f>
        <v>1.5344204356833462</v>
      </c>
      <c r="O26" s="266">
        <f>(E26/C26)/(E28/C28)</f>
        <v>0.83799017178451929</v>
      </c>
      <c r="P26" s="267">
        <f>(1+0/C26)/(1+E32/C28)</f>
        <v>0.97169357609069051</v>
      </c>
      <c r="Q26" s="263">
        <f>0+(1-0)*C30/C26</f>
        <v>2.9603349031920461</v>
      </c>
      <c r="R26" s="268"/>
      <c r="S26" s="268"/>
      <c r="T26" s="132"/>
    </row>
    <row r="27">
      <c r="A27" s="229" t="s">
        <v>31</v>
      </c>
      <c r="B27" s="230" t="s">
        <v>32</v>
      </c>
      <c r="C27" s="259">
        <f t="shared" si="54"/>
        <v>1401</v>
      </c>
      <c r="D27" s="260"/>
      <c r="E27" s="261">
        <v>32.5</v>
      </c>
      <c r="F27" s="232">
        <f t="shared" si="55"/>
        <v>43968.099999999999</v>
      </c>
      <c r="G27" s="232">
        <f t="shared" si="56"/>
        <v>24644.099999999999</v>
      </c>
      <c r="H27" s="270">
        <v>7205.8000000000002</v>
      </c>
      <c r="I27" s="232">
        <v>17438.299999999999</v>
      </c>
      <c r="J27" s="232">
        <v>2699.6999999999998</v>
      </c>
      <c r="K27" s="263">
        <f t="shared" si="57"/>
        <v>0.56049954398757285</v>
      </c>
      <c r="L27" s="264">
        <f t="shared" si="58"/>
        <v>6.140133414907626e-002</v>
      </c>
      <c r="M27" s="263">
        <f t="shared" si="59"/>
        <v>0.37809912186335087</v>
      </c>
      <c r="N27" s="265">
        <f>K28*Q27+L28*O27+M28*P27</f>
        <v>1.5232345143866202</v>
      </c>
      <c r="O27" s="266">
        <f>(E27/C27)/(E28/C28)</f>
        <v>0.98642602590796113</v>
      </c>
      <c r="P27" s="267">
        <f>(1+0/C27)/(1+E32/C28)</f>
        <v>0.97169357609069051</v>
      </c>
      <c r="Q27" s="263">
        <f>0+(1-0)*C30/C27</f>
        <v>2.8842663403691238</v>
      </c>
      <c r="R27" s="268"/>
      <c r="S27" s="268"/>
      <c r="T27" s="132"/>
    </row>
    <row r="28">
      <c r="A28" s="240"/>
      <c r="B28" s="241" t="s">
        <v>33</v>
      </c>
      <c r="C28" s="272">
        <f t="shared" ref="C28:J28" si="60">SUM(C21:C27)</f>
        <v>28286</v>
      </c>
      <c r="D28" s="272">
        <f t="shared" si="60"/>
        <v>0</v>
      </c>
      <c r="E28" s="273">
        <f t="shared" si="60"/>
        <v>665.20000000000005</v>
      </c>
      <c r="F28" s="231">
        <f t="shared" si="60"/>
        <v>691638.09999999998</v>
      </c>
      <c r="G28" s="231">
        <f t="shared" si="60"/>
        <v>199067.79999999999</v>
      </c>
      <c r="H28" s="274">
        <f t="shared" si="60"/>
        <v>80649.899999999994</v>
      </c>
      <c r="I28" s="231">
        <f t="shared" si="60"/>
        <v>118417.90000000001</v>
      </c>
      <c r="J28" s="231">
        <f t="shared" si="60"/>
        <v>49894.899999999994</v>
      </c>
      <c r="K28" s="263">
        <f t="shared" si="57"/>
        <v>0.2878207548138253</v>
      </c>
      <c r="L28" s="264">
        <f t="shared" si="58"/>
        <v>7.2140184295804405e-002</v>
      </c>
      <c r="M28" s="263">
        <f t="shared" si="59"/>
        <v>0.64003906089037033</v>
      </c>
      <c r="N28" s="265"/>
      <c r="O28" s="275"/>
      <c r="P28" s="221"/>
      <c r="Q28" s="221"/>
      <c r="R28" s="268"/>
      <c r="S28" s="268"/>
      <c r="T28" s="132"/>
    </row>
    <row r="29" s="23" customFormat="1">
      <c r="F29" s="250"/>
      <c r="J29" s="250"/>
      <c r="N29" s="276"/>
    </row>
    <row r="30" ht="15" customHeight="1">
      <c r="C30" s="277">
        <f>C28/7</f>
        <v>4040.8571428571427</v>
      </c>
      <c r="D30" t="s">
        <v>126</v>
      </c>
      <c r="E30" s="217">
        <v>474</v>
      </c>
      <c r="K30" s="254"/>
      <c r="L30" s="254"/>
      <c r="M30" s="254"/>
      <c r="N30" s="254"/>
      <c r="P30" s="278" t="s">
        <v>127</v>
      </c>
      <c r="Q30" s="278"/>
      <c r="R30" s="278"/>
      <c r="S30" s="278"/>
      <c r="T30" s="278"/>
    </row>
    <row r="31">
      <c r="D31" t="s">
        <v>128</v>
      </c>
      <c r="E31" s="217">
        <v>350</v>
      </c>
      <c r="K31" s="254"/>
      <c r="L31" s="254"/>
      <c r="M31" s="254"/>
      <c r="N31" s="254"/>
      <c r="P31" s="278"/>
      <c r="Q31" s="278"/>
      <c r="R31" s="278"/>
      <c r="S31" s="278"/>
      <c r="T31" s="278"/>
    </row>
    <row r="32" ht="15" customHeight="1">
      <c r="E32" s="217">
        <f>SUM(E30:E31)</f>
        <v>824</v>
      </c>
      <c r="K32" s="254"/>
      <c r="L32" s="254"/>
      <c r="M32" s="254"/>
      <c r="N32" s="254"/>
      <c r="P32" s="278"/>
      <c r="Q32" s="278"/>
      <c r="R32" s="278"/>
      <c r="S32" s="278"/>
      <c r="T32" s="278"/>
    </row>
    <row r="33" ht="15" customHeight="1">
      <c r="K33" s="254"/>
      <c r="L33" s="254"/>
      <c r="M33" s="254"/>
      <c r="N33" s="254"/>
      <c r="P33" s="278"/>
      <c r="Q33" s="278"/>
      <c r="R33" s="278"/>
      <c r="S33" s="278"/>
      <c r="T33" s="278"/>
    </row>
    <row r="34" ht="15" customHeight="1">
      <c r="B34" s="1" t="s">
        <v>129</v>
      </c>
      <c r="C34" s="132"/>
      <c r="D34" s="132"/>
      <c r="E34" s="132"/>
      <c r="F34" s="279" t="s">
        <v>130</v>
      </c>
      <c r="G34" s="280" t="s">
        <v>131</v>
      </c>
      <c r="H34" s="280"/>
      <c r="I34" s="280"/>
      <c r="J34" s="132"/>
      <c r="K34" s="132"/>
      <c r="L34" s="132"/>
      <c r="P34" s="278"/>
      <c r="Q34" s="278"/>
      <c r="R34" s="278"/>
      <c r="S34" s="278"/>
      <c r="T34" s="278"/>
    </row>
    <row r="35" ht="15" customHeight="1">
      <c r="D35" t="s">
        <v>132</v>
      </c>
      <c r="F35" s="279"/>
      <c r="G35" s="281"/>
      <c r="H35" s="23" t="s">
        <v>133</v>
      </c>
      <c r="I35" s="282" t="s">
        <v>134</v>
      </c>
      <c r="P35" s="278"/>
      <c r="Q35" s="278"/>
      <c r="R35" s="278"/>
      <c r="S35" s="278"/>
      <c r="T35" s="278"/>
    </row>
    <row r="36" ht="71.25" customHeight="1">
      <c r="B36" s="283" t="s">
        <v>20</v>
      </c>
      <c r="C36" s="284">
        <f>F12*J5+I12*R5+1-F12-I12</f>
        <v>0.76096017330205301</v>
      </c>
      <c r="D36" s="284">
        <f t="shared" ref="D36:D37" si="61">(1-($F$12+$I$12))+($F$12+$I$12)*0.299999999999999</f>
        <v>0.81297004025660213</v>
      </c>
      <c r="E36" s="285"/>
      <c r="F36" s="284">
        <f t="shared" ref="F36:F42" si="62">C36*N21*C21</f>
        <v>11371.25590555652</v>
      </c>
      <c r="G36" s="286"/>
      <c r="H36" s="287">
        <f>C36*N21*C28/F43</f>
        <v>0.65692072125920387</v>
      </c>
      <c r="I36" s="285">
        <v>0.93899999999999995</v>
      </c>
      <c r="J36" s="288"/>
      <c r="K36" s="285"/>
      <c r="L36" s="285"/>
      <c r="M36" s="289"/>
      <c r="N36" s="290">
        <f t="shared" ref="N36:N42" si="63">D36*N21*$C$28/$F$43</f>
        <v>0.70181973241785456</v>
      </c>
      <c r="P36" s="278"/>
      <c r="Q36" s="278"/>
      <c r="R36" s="278"/>
      <c r="S36" s="278"/>
      <c r="T36" s="278"/>
      <c r="W36" s="291"/>
    </row>
    <row r="37" ht="73.5" customHeight="1">
      <c r="B37" s="283" t="s">
        <v>22</v>
      </c>
      <c r="C37" s="284">
        <f>F12*J6+I12*R6+1-F12-I12</f>
        <v>0.97994874420500233</v>
      </c>
      <c r="D37" s="284">
        <f t="shared" si="61"/>
        <v>0.81297004025660213</v>
      </c>
      <c r="E37" s="285"/>
      <c r="F37" s="284">
        <f t="shared" si="62"/>
        <v>2126.3466012374456</v>
      </c>
      <c r="G37" s="286"/>
      <c r="H37" s="287">
        <f>C37*N22*C28/F43</f>
        <v>1.68372558419342</v>
      </c>
      <c r="I37" s="292">
        <v>1.651</v>
      </c>
      <c r="J37" s="293"/>
      <c r="K37" s="285"/>
      <c r="L37" s="285"/>
      <c r="M37" s="289"/>
      <c r="N37" s="290">
        <f t="shared" si="63"/>
        <v>1.3968265830814137</v>
      </c>
      <c r="P37" s="294" t="s">
        <v>135</v>
      </c>
      <c r="Q37" s="294"/>
      <c r="R37" s="294"/>
      <c r="S37" s="294" t="s">
        <v>136</v>
      </c>
      <c r="T37" s="294"/>
      <c r="V37" s="1"/>
      <c r="W37" s="116" t="s">
        <v>137</v>
      </c>
      <c r="X37" s="116" t="s">
        <v>136</v>
      </c>
    </row>
    <row r="38" ht="15.75" customHeight="1">
      <c r="B38" s="295" t="s">
        <v>24</v>
      </c>
      <c r="C38" s="244">
        <f>F12*J7+I12*R7+1-F12-I12</f>
        <v>1.01841007138831</v>
      </c>
      <c r="D38" s="244">
        <f>(1-($F$12+$I$12))+($F$12+$I$12)*1.2</f>
        <v>1.0534371313552564</v>
      </c>
      <c r="E38" s="221"/>
      <c r="F38" s="244">
        <f t="shared" si="62"/>
        <v>2460.5940875731094</v>
      </c>
      <c r="G38" s="286"/>
      <c r="H38" s="296">
        <f>C38*N23*C28/F43</f>
        <v>1.9011621599148421</v>
      </c>
      <c r="I38" s="221">
        <v>1.8500000000000001</v>
      </c>
      <c r="J38" s="297"/>
      <c r="K38" s="221"/>
      <c r="L38" s="221"/>
      <c r="M38" s="298"/>
      <c r="N38" s="299">
        <f t="shared" si="63"/>
        <v>1.966550477305937</v>
      </c>
      <c r="P38" s="294" t="s">
        <v>138</v>
      </c>
      <c r="Q38" s="294"/>
      <c r="R38" s="294"/>
      <c r="S38" s="294">
        <v>1.2</v>
      </c>
      <c r="T38" s="294"/>
      <c r="V38" s="300" t="s">
        <v>20</v>
      </c>
      <c r="W38" s="301">
        <v>1</v>
      </c>
      <c r="X38" s="1">
        <v>0.29999999999999999</v>
      </c>
    </row>
    <row r="39" ht="15.75" customHeight="1">
      <c r="B39" s="295" t="s">
        <v>26</v>
      </c>
      <c r="C39" s="244">
        <f>F12*J8+I12*R8+1-F12-I12</f>
        <v>0.97556078970908744</v>
      </c>
      <c r="D39" s="244">
        <f>(1-($F$12+$I$12))+($F$12+$I$12)*0.599999999999999</f>
        <v>0.89312573728948685</v>
      </c>
      <c r="E39" s="221"/>
      <c r="F39" s="244">
        <f t="shared" si="62"/>
        <v>1998.1611064231224</v>
      </c>
      <c r="G39" s="286"/>
      <c r="H39" s="296">
        <f>C39*N24*C28/F43</f>
        <v>1.8166731003011962</v>
      </c>
      <c r="I39" s="221">
        <v>1.77</v>
      </c>
      <c r="J39" s="297"/>
      <c r="K39" s="221"/>
      <c r="L39" s="221"/>
      <c r="M39" s="298"/>
      <c r="N39" s="299">
        <f t="shared" si="63"/>
        <v>1.6631639147821007</v>
      </c>
      <c r="P39" s="294" t="s">
        <v>139</v>
      </c>
      <c r="Q39" s="294"/>
      <c r="R39" s="294"/>
      <c r="S39" s="294">
        <v>0.90000000000000002</v>
      </c>
      <c r="T39" s="294"/>
      <c r="V39" s="302" t="s">
        <v>22</v>
      </c>
      <c r="W39" s="301">
        <v>0.65000000000000002</v>
      </c>
      <c r="X39" s="1">
        <v>0.29999999999999999</v>
      </c>
    </row>
    <row r="40" ht="15.75" customHeight="1">
      <c r="B40" s="295" t="s">
        <v>28</v>
      </c>
      <c r="C40" s="244">
        <f>F12*J9+I12*R9+1-F12-I12</f>
        <v>1.0304951099595028</v>
      </c>
      <c r="D40" s="244">
        <f>(1-($F$12+$I$12))+($F$12+$I$12)*1.2</f>
        <v>1.0534371313552564</v>
      </c>
      <c r="E40" s="221"/>
      <c r="F40" s="244">
        <f t="shared" si="62"/>
        <v>2555.6059846870521</v>
      </c>
      <c r="G40" s="286"/>
      <c r="H40" s="296">
        <f>C40*N25*C28/F43</f>
        <v>2.0042653091346585</v>
      </c>
      <c r="I40" s="221">
        <v>1.915</v>
      </c>
      <c r="J40" s="297"/>
      <c r="K40" s="221"/>
      <c r="L40" s="221"/>
      <c r="M40" s="298"/>
      <c r="N40" s="299">
        <f t="shared" si="63"/>
        <v>2.0488864792503918</v>
      </c>
      <c r="P40" s="294" t="s">
        <v>140</v>
      </c>
      <c r="Q40" s="294"/>
      <c r="R40" s="294"/>
      <c r="S40" s="294">
        <v>0.59999999999999998</v>
      </c>
      <c r="T40" s="294"/>
      <c r="V40" s="300" t="s">
        <v>24</v>
      </c>
      <c r="W40" s="301">
        <v>0.13</v>
      </c>
      <c r="X40" s="1">
        <v>1.2</v>
      </c>
    </row>
    <row r="41" ht="15.75" customHeight="1">
      <c r="B41" s="295" t="s">
        <v>30</v>
      </c>
      <c r="C41" s="244">
        <f>F12*J10+I12*R10+1-F12-I12</f>
        <v>0.98315025384817689</v>
      </c>
      <c r="D41" s="244">
        <f>(1-($F$12+$I$12))+($F$12+$I$12)*0.599999999999999</f>
        <v>0.89312573728948685</v>
      </c>
      <c r="E41" s="221"/>
      <c r="F41" s="244">
        <f t="shared" si="62"/>
        <v>2059.19237276286</v>
      </c>
      <c r="G41" s="286"/>
      <c r="H41" s="296">
        <f>C41*N26*C28/F43</f>
        <v>1.7308917532053507</v>
      </c>
      <c r="I41" s="263">
        <v>1.6910000000000001</v>
      </c>
      <c r="J41" s="297"/>
      <c r="K41" s="221"/>
      <c r="L41" s="221"/>
      <c r="M41" s="298"/>
      <c r="N41" s="299">
        <f t="shared" si="63"/>
        <v>1.5723984886327944</v>
      </c>
      <c r="P41" s="294" t="s">
        <v>141</v>
      </c>
      <c r="Q41" s="294"/>
      <c r="R41" s="294"/>
      <c r="S41" s="294">
        <v>0.29999999999999999</v>
      </c>
      <c r="T41" s="294"/>
      <c r="V41" s="300" t="s">
        <v>26</v>
      </c>
      <c r="W41" s="301">
        <v>0.60999999999999999</v>
      </c>
      <c r="X41" s="1">
        <v>0.59999999999999998</v>
      </c>
    </row>
    <row r="42" ht="15.75">
      <c r="B42" s="295" t="s">
        <v>32</v>
      </c>
      <c r="C42" s="244">
        <f>F12*J11+I12*R11+1-F12-I12</f>
        <v>0.97543276749576169</v>
      </c>
      <c r="D42" s="244">
        <f>(1-($F$12+$I$12))+($F$12+$I$12)*0.299999999999999</f>
        <v>0.81297004025660213</v>
      </c>
      <c r="E42" s="221"/>
      <c r="F42" s="244">
        <f t="shared" si="62"/>
        <v>2081.6238139363982</v>
      </c>
      <c r="G42" s="286"/>
      <c r="H42" s="296">
        <f>C42*N27*C28/F43</f>
        <v>1.7047855339983768</v>
      </c>
      <c r="I42" s="221">
        <v>1.6739999999999999</v>
      </c>
      <c r="J42" s="297"/>
      <c r="K42" s="221"/>
      <c r="L42" s="221"/>
      <c r="M42" s="298"/>
      <c r="N42" s="299">
        <f t="shared" si="63"/>
        <v>1.4208458136604023</v>
      </c>
      <c r="P42" s="303"/>
      <c r="S42" s="304"/>
      <c r="V42" s="300" t="s">
        <v>28</v>
      </c>
      <c r="W42" s="301">
        <v>0.14000000000000001</v>
      </c>
      <c r="X42" s="1">
        <v>1.2</v>
      </c>
    </row>
    <row r="43">
      <c r="B43" s="305" t="s">
        <v>33</v>
      </c>
      <c r="C43" s="244"/>
      <c r="D43" s="221"/>
      <c r="E43" s="221"/>
      <c r="F43" s="244">
        <f>SUM(F36:F42)</f>
        <v>24652.77987217651</v>
      </c>
      <c r="G43" s="221"/>
      <c r="H43" s="306">
        <f>H36+H37+H38+H39+H40+H41+H42</f>
        <v>11.498424162007048</v>
      </c>
      <c r="I43" s="263">
        <f>I36+I37+I38+I39+I40+I41+I42</f>
        <v>11.49</v>
      </c>
      <c r="J43" s="307"/>
      <c r="K43" s="221"/>
      <c r="L43" s="221"/>
      <c r="M43" s="221"/>
      <c r="N43" s="306">
        <f>N36+N37+N38+N39+N40+N41+N42</f>
        <v>10.770491489130894</v>
      </c>
      <c r="P43" s="291"/>
      <c r="V43" s="300" t="s">
        <v>30</v>
      </c>
      <c r="W43" s="301">
        <v>0.60999999999999999</v>
      </c>
      <c r="X43" s="1">
        <v>0.59999999999999998</v>
      </c>
    </row>
    <row r="44">
      <c r="B44" s="308"/>
      <c r="C44" s="308"/>
      <c r="D44" s="309"/>
      <c r="E44" s="310"/>
      <c r="F44" s="311"/>
      <c r="G44" s="132"/>
      <c r="H44" s="312"/>
      <c r="I44" s="313"/>
      <c r="J44" s="314"/>
      <c r="K44" s="132"/>
      <c r="L44" s="132"/>
      <c r="M44" s="132"/>
      <c r="N44" s="132"/>
      <c r="P44" s="291"/>
      <c r="V44" s="300" t="s">
        <v>32</v>
      </c>
      <c r="W44" s="301">
        <v>0.72999999999999998</v>
      </c>
      <c r="X44" s="1">
        <v>0.29999999999999999</v>
      </c>
    </row>
    <row r="45">
      <c r="B45" s="308"/>
      <c r="C45" s="308"/>
      <c r="D45" s="309"/>
      <c r="E45" s="310"/>
      <c r="F45" s="311"/>
      <c r="G45" s="132"/>
      <c r="H45" s="312"/>
      <c r="I45" s="313"/>
      <c r="J45" s="314"/>
      <c r="K45" s="132"/>
      <c r="L45" s="132"/>
      <c r="M45" s="212"/>
      <c r="N45" s="212"/>
      <c r="O45" s="212"/>
      <c r="P45" s="212"/>
      <c r="Q45" s="212"/>
      <c r="R45" s="212"/>
      <c r="S45" s="212"/>
      <c r="T45" s="212"/>
      <c r="W45" s="315"/>
    </row>
    <row r="46">
      <c r="B46" s="308"/>
      <c r="C46" s="308"/>
      <c r="D46" s="309"/>
      <c r="E46" s="310"/>
      <c r="F46" s="311"/>
      <c r="G46" s="132"/>
      <c r="H46" s="312"/>
      <c r="I46" s="313"/>
      <c r="J46" s="314"/>
      <c r="K46" s="132"/>
      <c r="L46" s="132"/>
      <c r="M46" s="212"/>
      <c r="N46" s="212"/>
      <c r="O46" s="212"/>
      <c r="P46" s="214"/>
      <c r="Q46" s="212"/>
      <c r="R46" s="212"/>
      <c r="S46" s="212"/>
      <c r="T46" s="212"/>
    </row>
    <row r="47" ht="71.25">
      <c r="B47" s="308"/>
      <c r="C47" s="308"/>
      <c r="D47" s="309"/>
      <c r="E47" s="310"/>
      <c r="F47" s="311"/>
      <c r="G47" s="132"/>
      <c r="H47" s="312"/>
      <c r="I47" s="313"/>
      <c r="J47" s="314"/>
      <c r="K47" s="132"/>
      <c r="L47" s="132"/>
      <c r="M47" s="212"/>
      <c r="N47" s="212"/>
      <c r="O47" s="316" t="s">
        <v>142</v>
      </c>
      <c r="P47" s="317" t="s">
        <v>143</v>
      </c>
      <c r="Q47" s="212"/>
      <c r="R47" s="316" t="s">
        <v>144</v>
      </c>
      <c r="S47" s="316"/>
      <c r="T47" s="212"/>
    </row>
    <row r="48" ht="24">
      <c r="B48" s="308"/>
      <c r="C48" s="308"/>
      <c r="D48" s="309"/>
      <c r="E48" s="310"/>
      <c r="F48" s="311"/>
      <c r="G48" s="132"/>
      <c r="H48" s="312"/>
      <c r="I48" s="313"/>
      <c r="J48" s="314"/>
      <c r="K48" s="132"/>
      <c r="L48" s="132"/>
      <c r="M48" s="318" t="s">
        <v>20</v>
      </c>
      <c r="N48" s="318" t="s">
        <v>20</v>
      </c>
      <c r="O48" s="319">
        <v>152665.10000000001</v>
      </c>
      <c r="P48" s="320" t="e">
        <f t="shared" ref="P48:P54" si="64">N48/O48</f>
        <v>#VALUE!</v>
      </c>
      <c r="Q48" s="212"/>
      <c r="R48" s="212" t="s">
        <v>138</v>
      </c>
      <c r="S48" s="212">
        <v>1.2</v>
      </c>
      <c r="T48" s="212"/>
    </row>
    <row r="49" ht="33.75">
      <c r="B49" s="308"/>
      <c r="C49" s="308"/>
      <c r="D49" s="309"/>
      <c r="E49" s="310"/>
      <c r="F49" s="311"/>
      <c r="G49" s="132"/>
      <c r="H49" s="312"/>
      <c r="I49" s="313"/>
      <c r="J49" s="314"/>
      <c r="K49" s="132"/>
      <c r="L49" s="132"/>
      <c r="M49" s="318" t="s">
        <v>22</v>
      </c>
      <c r="N49" s="319">
        <v>14962.200000000001</v>
      </c>
      <c r="O49" s="319">
        <v>22936.299999999999</v>
      </c>
      <c r="P49" s="320">
        <f t="shared" si="64"/>
        <v>0.6523371249940052</v>
      </c>
      <c r="Q49" s="212"/>
      <c r="R49" s="212" t="s">
        <v>145</v>
      </c>
      <c r="S49" s="212">
        <v>0.90000000000000002</v>
      </c>
      <c r="T49" s="212"/>
    </row>
    <row r="50">
      <c r="B50" s="308"/>
      <c r="C50" s="308"/>
      <c r="D50" s="309"/>
      <c r="E50" s="310"/>
      <c r="F50" s="311"/>
      <c r="G50" s="132"/>
      <c r="H50" s="132"/>
      <c r="I50" s="132"/>
      <c r="M50" s="318" t="s">
        <v>24</v>
      </c>
      <c r="N50" s="319">
        <v>4585.6000000000004</v>
      </c>
      <c r="O50" s="319">
        <v>33653.599999999999</v>
      </c>
      <c r="P50" s="320">
        <f t="shared" si="64"/>
        <v>0.13625882520740726</v>
      </c>
      <c r="Q50" s="212"/>
      <c r="R50" s="212" t="s">
        <v>140</v>
      </c>
      <c r="S50" s="212">
        <v>0.59999999999999998</v>
      </c>
      <c r="T50" s="212"/>
    </row>
    <row r="51">
      <c r="B51" s="132"/>
      <c r="C51" s="132"/>
      <c r="D51" s="132"/>
      <c r="E51" s="132"/>
      <c r="G51" s="132"/>
      <c r="H51" s="132"/>
      <c r="I51" s="132"/>
      <c r="M51" s="318" t="s">
        <v>26</v>
      </c>
      <c r="N51" s="319">
        <v>14491.1</v>
      </c>
      <c r="O51" s="319">
        <v>20633.599999999999</v>
      </c>
      <c r="P51" s="320">
        <f t="shared" si="64"/>
        <v>0.70230594758064524</v>
      </c>
      <c r="Q51" s="212"/>
      <c r="R51" s="212" t="s">
        <v>146</v>
      </c>
      <c r="S51" s="212">
        <v>0.29999999999999999</v>
      </c>
      <c r="T51" s="212"/>
    </row>
    <row r="52">
      <c r="B52" s="132"/>
      <c r="C52" s="132"/>
      <c r="D52" s="132"/>
      <c r="E52" s="132"/>
      <c r="G52" s="132"/>
      <c r="H52" s="132"/>
      <c r="I52" s="132"/>
      <c r="M52" s="318" t="s">
        <v>28</v>
      </c>
      <c r="N52" s="319">
        <v>4666.6999999999998</v>
      </c>
      <c r="O52" s="319">
        <v>33163.199999999997</v>
      </c>
      <c r="P52" s="320">
        <f t="shared" si="64"/>
        <v>0.14071923095479327</v>
      </c>
      <c r="Q52" s="212"/>
      <c r="R52" s="212"/>
      <c r="S52" s="212"/>
      <c r="T52" s="212"/>
    </row>
    <row r="53">
      <c r="M53" s="318" t="s">
        <v>30</v>
      </c>
      <c r="N53" s="319">
        <v>14949.4</v>
      </c>
      <c r="O53" s="319">
        <v>23678.200000000001</v>
      </c>
      <c r="P53" s="320">
        <f t="shared" si="64"/>
        <v>0.63135711329408484</v>
      </c>
      <c r="Q53" s="212"/>
      <c r="R53" s="212"/>
      <c r="S53" s="212"/>
      <c r="T53" s="212"/>
    </row>
    <row r="54" ht="18" customHeight="1">
      <c r="M54" s="318" t="s">
        <v>32</v>
      </c>
      <c r="N54" s="319">
        <v>15986.9</v>
      </c>
      <c r="O54" s="319">
        <v>18648.5</v>
      </c>
      <c r="P54" s="320">
        <f t="shared" si="64"/>
        <v>0.85727538407914838</v>
      </c>
      <c r="Q54" s="212"/>
      <c r="R54" s="212"/>
      <c r="S54" s="212"/>
      <c r="T54" s="212"/>
    </row>
    <row r="55" ht="26.25" customHeight="1"/>
    <row r="56" ht="30.75" customHeight="1"/>
    <row r="57" ht="13.5" customHeight="1"/>
    <row r="58" ht="26.25" customHeight="1">
      <c r="W58" s="321"/>
      <c r="X58" s="321"/>
      <c r="Y58" s="321"/>
      <c r="Z58" s="321"/>
      <c r="AA58" s="321"/>
    </row>
  </sheetData>
  <mergeCells count="23">
    <mergeCell ref="K3:N3"/>
    <mergeCell ref="K19:M19"/>
    <mergeCell ref="P30:T36"/>
    <mergeCell ref="G34:I34"/>
    <mergeCell ref="P37:R37"/>
    <mergeCell ref="S37:T37"/>
    <mergeCell ref="P38:R38"/>
    <mergeCell ref="S38:T38"/>
    <mergeCell ref="P39:R39"/>
    <mergeCell ref="S39:T39"/>
    <mergeCell ref="P40:R40"/>
    <mergeCell ref="S40:T40"/>
    <mergeCell ref="P41:R41"/>
    <mergeCell ref="S41:T41"/>
    <mergeCell ref="B44:C44"/>
    <mergeCell ref="B45:C45"/>
    <mergeCell ref="B46:C46"/>
    <mergeCell ref="B47:C47"/>
    <mergeCell ref="R47:S47"/>
    <mergeCell ref="B48:C48"/>
    <mergeCell ref="B49:C49"/>
    <mergeCell ref="B50:C50"/>
    <mergeCell ref="W58:AA58"/>
  </mergeCells>
  <printOptions headings="0" gridLines="0"/>
  <pageMargins left="0" right="0" top="0" bottom="0" header="0.51181100000000002" footer="0.51181100000000002"/>
  <pageSetup paperSize="9" scale="45" fitToWidth="1" fitToHeight="1" pageOrder="downThenOver" orientation="landscape" usePrinterDefaults="1" blackAndWhite="0" draft="0" cellComments="none" useFirstPageNumber="0" errors="displayed" horizontalDpi="600" verticalDpi="600" copies="1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Р7-Офис/2024.4.2.721</Application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Плохих Ирина Анатольевна</dc:creator>
  <cp:lastModifiedBy>KrutovskayaOS</cp:lastModifiedBy>
  <cp:revision>3</cp:revision>
  <dcterms:created xsi:type="dcterms:W3CDTF">2021-09-15T06:48:00Z</dcterms:created>
  <dcterms:modified xsi:type="dcterms:W3CDTF">2025-10-22T10:04:52Z</dcterms:modified>
  <cp:version>1048576</cp:version>
</cp:coreProperties>
</file>